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8790" activeTab="0"/>
  </bookViews>
  <sheets>
    <sheet name="лето 2018" sheetId="1" r:id="rId1"/>
  </sheets>
  <definedNames/>
  <calcPr fullCalcOnLoad="1"/>
</workbook>
</file>

<file path=xl/sharedStrings.xml><?xml version="1.0" encoding="utf-8"?>
<sst xmlns="http://schemas.openxmlformats.org/spreadsheetml/2006/main" count="2398" uniqueCount="948">
  <si>
    <t>Все  виды SUITE при одноместном проживании (SUITE SGL) расчитываются по запросу.</t>
  </si>
  <si>
    <t xml:space="preserve">Проживание 1-го ребенка с 1-им взрослым и  2 детей  в одном номере - по запросу. </t>
  </si>
  <si>
    <t>CHD + 2 взр (до 12 лет)</t>
  </si>
  <si>
    <t xml:space="preserve">Iberostar Grand Hotel Trinidad </t>
  </si>
  <si>
    <t>Отель</t>
  </si>
  <si>
    <t>Melia Las Americas</t>
  </si>
  <si>
    <t>5*</t>
  </si>
  <si>
    <t>SGL</t>
  </si>
  <si>
    <t>ALL INCLUSIVE</t>
  </si>
  <si>
    <t>EXTRA BED</t>
  </si>
  <si>
    <t>SUITE DBL</t>
  </si>
  <si>
    <t>DBL</t>
  </si>
  <si>
    <t>Paradisus Varadero</t>
  </si>
  <si>
    <t>JR SUITE DBL</t>
  </si>
  <si>
    <t xml:space="preserve">SUITE DBL </t>
  </si>
  <si>
    <t>SUITE SGL</t>
  </si>
  <si>
    <t xml:space="preserve">Melia Varadero </t>
  </si>
  <si>
    <t>Sol Palmeras</t>
  </si>
  <si>
    <t>4*</t>
  </si>
  <si>
    <t>Iberostar Tainos</t>
  </si>
  <si>
    <t>Barcelo Solymar</t>
  </si>
  <si>
    <t>Barlovento</t>
  </si>
  <si>
    <t>Kawama</t>
  </si>
  <si>
    <t>Villa Tortuga</t>
  </si>
  <si>
    <t>3*</t>
  </si>
  <si>
    <t>Sol Cayo Largo</t>
  </si>
  <si>
    <t>Melia Cayo Santa Maria</t>
  </si>
  <si>
    <t>Melia Cayo Coco</t>
  </si>
  <si>
    <t>Melia Cayo Guillermo</t>
  </si>
  <si>
    <t>Sol Cayo Guillermo</t>
  </si>
  <si>
    <t>Iberostar Daiquiri</t>
  </si>
  <si>
    <t>PLAYA ESMERALDA / HOLGUIN    -  ПЛЯЖ ЭСМЕРАЛЬДА / ОЛЬГИН</t>
  </si>
  <si>
    <t>Paradisus Rio de Oro</t>
  </si>
  <si>
    <t>Sol Rio de Luna y Mares</t>
  </si>
  <si>
    <t>SANTIAGO DE CUBA -   САНТЪЯГО ДЕ КУБА</t>
  </si>
  <si>
    <t>LA HABANA   -  ГАВАНА</t>
  </si>
  <si>
    <t>Melia Cohiba</t>
  </si>
  <si>
    <t>Nacional</t>
  </si>
  <si>
    <t>Plaza</t>
  </si>
  <si>
    <t>Comodoro</t>
  </si>
  <si>
    <t>Telegrafo 4*</t>
  </si>
  <si>
    <t>Florida 4*</t>
  </si>
  <si>
    <t>Armadores de Santander 4*</t>
  </si>
  <si>
    <t>Villa Los Pinos</t>
  </si>
  <si>
    <t xml:space="preserve">Iberostar Varadero    </t>
  </si>
  <si>
    <t xml:space="preserve">Playa Pesquero </t>
  </si>
  <si>
    <t>Курорты на островах - отели по системе ALL INCLUSIVE ( "ВСЕ ВКЛЮЧЕНО")</t>
  </si>
  <si>
    <t>5 *</t>
  </si>
  <si>
    <t xml:space="preserve">DBL </t>
  </si>
  <si>
    <t>Melia Habana</t>
  </si>
  <si>
    <t>Jagua</t>
  </si>
  <si>
    <t>Ambos Mundos 4*</t>
  </si>
  <si>
    <t>Conde de Villanueva 4*</t>
  </si>
  <si>
    <t xml:space="preserve">DBL  </t>
  </si>
  <si>
    <t>Melia Las Antillas</t>
  </si>
  <si>
    <t>Paradisus Princesa del Mar</t>
  </si>
  <si>
    <t>Saratoga</t>
  </si>
  <si>
    <t>Iberostar Playa Alameda</t>
  </si>
  <si>
    <t>(вторая линия пляжа)</t>
  </si>
  <si>
    <t>2*</t>
  </si>
  <si>
    <t>Inglaterra</t>
  </si>
  <si>
    <t>Arenas Doradas</t>
  </si>
  <si>
    <t>JR SUITE SGL</t>
  </si>
  <si>
    <t>Tuxpan</t>
  </si>
  <si>
    <t>Santa Isabel</t>
  </si>
  <si>
    <t>Sol Palmeras - Bungalow</t>
  </si>
  <si>
    <t>Atlantico</t>
  </si>
  <si>
    <t xml:space="preserve">Iberostar Laguna Azul    </t>
  </si>
  <si>
    <t>HB</t>
  </si>
  <si>
    <t>EXTRA  BED</t>
  </si>
  <si>
    <t>BB</t>
  </si>
  <si>
    <t>Chateau Miramar</t>
  </si>
  <si>
    <t>Acuazul 3*</t>
  </si>
  <si>
    <t>ВО ВСЕХ ТАБЛИЦАХ ПРОЖИВАНИЕ EXTRA BED и CHD + 2 ВЗР  РАССЧИТАНО ТОЛЬКО ДЛЯ СТАНДАРТНЫХ НОМЕРОВ!</t>
  </si>
  <si>
    <t>DBL  OCEAN  VIEW</t>
  </si>
  <si>
    <t>SGL  OCEAN  VIEW</t>
  </si>
  <si>
    <t>Melia Las Americas Bungalow</t>
  </si>
  <si>
    <t>SUITE  SGL</t>
  </si>
  <si>
    <t>SUITE  DBL</t>
  </si>
  <si>
    <t xml:space="preserve">EXTRA  BED </t>
  </si>
  <si>
    <t>JR  SUITE  DBL</t>
  </si>
  <si>
    <t>JR  SUITE  SGL</t>
  </si>
  <si>
    <t>DBL  BUNGALOW</t>
  </si>
  <si>
    <t>SGL  BUNGALOW</t>
  </si>
  <si>
    <t>Melia  Las  Dunas</t>
  </si>
  <si>
    <t>Sol  Cayo  Santa  Maria</t>
  </si>
  <si>
    <t>Sol  Cayo  Coco</t>
  </si>
  <si>
    <t>Tryp  Cayo  Coco</t>
  </si>
  <si>
    <t>Melia  Santiago  de  Cuba</t>
  </si>
  <si>
    <t>DBL  TROPICAL  OCEAN  VIEW</t>
  </si>
  <si>
    <t>SGL  TROPICAL  OCEAN  VIEW</t>
  </si>
  <si>
    <t xml:space="preserve">DBL  TROPICAL </t>
  </si>
  <si>
    <t>SGL  TROPICAL</t>
  </si>
  <si>
    <t>DBL  TROPICAL</t>
  </si>
  <si>
    <t>Tryp  Habana  Libre</t>
  </si>
  <si>
    <t>DBL  PANORAMIC  VIEW</t>
  </si>
  <si>
    <t>SGL  PANORAMIC  VIEW</t>
  </si>
  <si>
    <t>CHD + 2 взр (от 2 до 12 лет)</t>
  </si>
  <si>
    <t>DELUXE  PATIO  DBL</t>
  </si>
  <si>
    <t>DELUXE  PATIO  SGL</t>
  </si>
  <si>
    <t>Mercure  Sevilla</t>
  </si>
  <si>
    <t>CHD + 2 взр  (от 2 до 12 лет)</t>
  </si>
  <si>
    <t>Brisas  Trinidad del Mar</t>
  </si>
  <si>
    <t>La Union</t>
  </si>
  <si>
    <t>DBL SUPERIOR</t>
  </si>
  <si>
    <t>SGL SUPERIOR</t>
  </si>
  <si>
    <t xml:space="preserve"> Внимание! Отель только для взрослых c 16 лет!    Размещение 3-го человека в номере не допускается</t>
  </si>
  <si>
    <t xml:space="preserve">SGL  </t>
  </si>
  <si>
    <t>Отель только для взрослых cтарше 18 лет !!!!     Размешение 3-го человека в номерах категории  Royal Service  не допускается</t>
  </si>
  <si>
    <t>Melia  Buenavista</t>
  </si>
  <si>
    <t>Brisas del Caribe</t>
  </si>
  <si>
    <t>Las Cuevas</t>
  </si>
  <si>
    <t>Ancon</t>
  </si>
  <si>
    <t>Costa Sur</t>
  </si>
  <si>
    <t xml:space="preserve">Faro Luna </t>
  </si>
  <si>
    <t>Presidente</t>
  </si>
  <si>
    <t>АПАРТАМЕНТЫ С ОДНОЙ СПАЛЬНЕЙ (ЦЕНА ЗА НОМЕР)</t>
  </si>
  <si>
    <t>АПАРТАМЕНТЫ С ДВУМЯ СПАЛЬНЯМИ (ЦЕНА ЗА НОМЕР)</t>
  </si>
  <si>
    <t>СТОИМОСТЬ УКАЗАНА НА ОДНОГО ЧЕЛОВЕКА В НОМЕРЕ!!!</t>
  </si>
  <si>
    <t xml:space="preserve">                                                         ОТЕЛИ В ИСТОРИЧЕСКОЙ ЧАСТИ ГАВАНЫ</t>
  </si>
  <si>
    <t>SUITE  PRADO  DBL</t>
  </si>
  <si>
    <t>SUITE  PRADO  SGL</t>
  </si>
  <si>
    <t>SUITE  CAPITOLIO  DBL</t>
  </si>
  <si>
    <t>SUITE  CAPITOLIO  SGL</t>
  </si>
  <si>
    <t>SUITE  HABANA  DBL</t>
  </si>
  <si>
    <t>SUITE  HABANA  SGL</t>
  </si>
  <si>
    <t>Palacio Marques de Prado Ameno 4*</t>
  </si>
  <si>
    <t>Los Frailes 3*</t>
  </si>
  <si>
    <t>Beltran de Santa Cruz 3*</t>
  </si>
  <si>
    <t xml:space="preserve">Iberostar Parque Central </t>
  </si>
  <si>
    <t>SPA Suite DBL</t>
  </si>
  <si>
    <t>SPA Suite SGL</t>
  </si>
  <si>
    <t>Tejadillo 3*</t>
  </si>
  <si>
    <t>DBL  SUPERIOR OCEAN  VIEW</t>
  </si>
  <si>
    <t>O' Farril 4*</t>
  </si>
  <si>
    <t>Palacio San Miguel 4*</t>
  </si>
  <si>
    <t>Вилла с двумя спальнями (макс. 4 чел)</t>
  </si>
  <si>
    <t>Вилла с тремя спальнями  (макс. 6 чел)</t>
  </si>
  <si>
    <t>Вилла с четырьмя спальнями  (макс. 8 чел)</t>
  </si>
  <si>
    <t xml:space="preserve">EXTRA BED  </t>
  </si>
  <si>
    <t>Brisas Guardalavaca</t>
  </si>
  <si>
    <t>DBL GARDEN VIEW</t>
  </si>
  <si>
    <t>SGL GARDEN VIEW</t>
  </si>
  <si>
    <t>DBL  TROPICAL  OCEAN  SIDE</t>
  </si>
  <si>
    <t>SGL  TROPICAL  OCEAN  SIDE</t>
  </si>
  <si>
    <t>DBL VILLA</t>
  </si>
  <si>
    <t>Club Amigo Atlantico Guardalavaca</t>
  </si>
  <si>
    <t>DBL TROPICAL</t>
  </si>
  <si>
    <t>SGL TROPICAL</t>
  </si>
  <si>
    <t>JR SUITE DBL OCEAN VIEW</t>
  </si>
  <si>
    <t>Sol Sirenas  Coral</t>
  </si>
  <si>
    <t>Максимальное размещение: Deluxe Patio - 2 взр, Jr Suite Saratoga - 2 взр+1 реб,  Suite Prado - 3 взр или 2 взр+2 реб, Suite Capitolio - 3 взр или 2 взр+1 реб,  Suite Habana - 2 взр+1 реб</t>
  </si>
  <si>
    <r>
      <t xml:space="preserve">                                                          </t>
    </r>
    <r>
      <rPr>
        <b/>
        <i/>
        <sz val="16"/>
        <color indexed="12"/>
        <rFont val="Arial Cyr"/>
        <family val="0"/>
      </rPr>
      <t xml:space="preserve"> </t>
    </r>
    <r>
      <rPr>
        <b/>
        <i/>
        <sz val="12"/>
        <color indexed="12"/>
        <rFont val="Arial Cyr"/>
        <family val="2"/>
      </rPr>
      <t xml:space="preserve">                VARADERO   -  ВАРАДЕРО </t>
    </r>
    <r>
      <rPr>
        <i/>
        <sz val="12"/>
        <rFont val="Arial Cyr"/>
        <family val="2"/>
      </rPr>
      <t xml:space="preserve">(140 км от Гаваны)                             </t>
    </r>
  </si>
  <si>
    <r>
      <t xml:space="preserve">                                                                           ОТЕЛИ СИСТЕМЫ "ALL INCLUSIVE" (ВСЕ ВКЛЮЧЕНО)   НА ВАРАДЕРО                       </t>
    </r>
    <r>
      <rPr>
        <i/>
        <sz val="11"/>
        <color indexed="12"/>
        <rFont val="Arial Cyr"/>
        <family val="0"/>
      </rPr>
      <t xml:space="preserve">   </t>
    </r>
  </si>
  <si>
    <r>
      <t xml:space="preserve">4 </t>
    </r>
    <r>
      <rPr>
        <b/>
        <sz val="10"/>
        <rFont val="Arial Cyr"/>
        <family val="0"/>
      </rPr>
      <t>1\2</t>
    </r>
    <r>
      <rPr>
        <sz val="11"/>
        <rFont val="Arial Cyr"/>
        <family val="0"/>
      </rPr>
      <t>*</t>
    </r>
  </si>
  <si>
    <r>
      <t xml:space="preserve">TRINIDAD  -   ТРИНИДАД </t>
    </r>
    <r>
      <rPr>
        <i/>
        <sz val="12"/>
        <rFont val="Arial Cyr"/>
        <family val="2"/>
      </rPr>
      <t>(407 км от Гаваны, Карибское побережье)</t>
    </r>
  </si>
  <si>
    <r>
      <t xml:space="preserve">CIENFUEGOS  -   СИЕНФУЭГОС </t>
    </r>
    <r>
      <rPr>
        <i/>
        <sz val="12"/>
        <rFont val="Arial Cyr"/>
        <family val="2"/>
      </rPr>
      <t>(336 км от Гаваны, Карибское побережье)</t>
    </r>
  </si>
  <si>
    <r>
      <t xml:space="preserve">                                                                                  CAYO LARGO  -  ОСТРОВ КАЙО ЛАРГО </t>
    </r>
    <r>
      <rPr>
        <i/>
        <sz val="12"/>
        <rFont val="Arial Cyr"/>
        <family val="2"/>
      </rPr>
      <t>(в Карибском море - Южное побережье)</t>
    </r>
  </si>
  <si>
    <r>
      <t xml:space="preserve">CAYO ENSENACHOS - ОСТРОВ ЭНСЕНАЧОС </t>
    </r>
    <r>
      <rPr>
        <i/>
        <sz val="12"/>
        <rFont val="Arial Cyr"/>
        <family val="0"/>
      </rPr>
      <t>( в Атлантическом океане - Северное побережье)</t>
    </r>
  </si>
  <si>
    <r>
      <t xml:space="preserve">CAYO SANTA MARIA - ОСТРОВ САНТА МАРИЯ </t>
    </r>
    <r>
      <rPr>
        <i/>
        <sz val="12"/>
        <rFont val="Arial Cyr"/>
        <family val="0"/>
      </rPr>
      <t>( в Атлантическом океане - Северное побережье)</t>
    </r>
  </si>
  <si>
    <r>
      <t xml:space="preserve">CAYO GUILLERMO  -  ОСТРОВ КАЙО ГИЛЬЕРМО </t>
    </r>
    <r>
      <rPr>
        <i/>
        <sz val="12"/>
        <rFont val="Arial Cyr"/>
        <family val="2"/>
      </rPr>
      <t>(</t>
    </r>
    <r>
      <rPr>
        <b/>
        <i/>
        <sz val="12"/>
        <rFont val="Arial Cyr"/>
        <family val="0"/>
      </rPr>
      <t>А</t>
    </r>
    <r>
      <rPr>
        <b/>
        <i/>
        <sz val="12"/>
        <rFont val="Arial Cyr"/>
        <family val="2"/>
      </rPr>
      <t>тлантический океан - Северное Побережье)</t>
    </r>
  </si>
  <si>
    <r>
      <t xml:space="preserve">PLAYA SANTA MARIA   -  ПЛЯЖ САНТА МАРИЯ </t>
    </r>
    <r>
      <rPr>
        <b/>
        <i/>
        <sz val="10"/>
        <rFont val="Arial Cyr"/>
        <family val="0"/>
      </rPr>
      <t>(самый близкий пляж от Гаваны - 18км)</t>
    </r>
  </si>
  <si>
    <r>
      <t>Внимание</t>
    </r>
    <r>
      <rPr>
        <b/>
        <i/>
        <sz val="12"/>
        <rFont val="Arial Cyr"/>
        <family val="2"/>
      </rPr>
      <t>: расчетный час в гостиницах Кубы - 12 часов.</t>
    </r>
  </si>
  <si>
    <r>
      <t xml:space="preserve">Gran Caribe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</si>
  <si>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 xml:space="preserve">Gran Caribe                  </t>
    </r>
    <r>
      <rPr>
        <b/>
        <i/>
        <sz val="11"/>
        <color indexed="48"/>
        <rFont val="Arial Cyr"/>
        <family val="0"/>
      </rPr>
      <t>В ДОЛЛАРАХ</t>
    </r>
  </si>
  <si>
    <t>Blau Varadero</t>
  </si>
  <si>
    <t>CHD + 2 взр (до 6 лет)</t>
  </si>
  <si>
    <t>CHD + 2 взр (от 7 до 12 лет)</t>
  </si>
  <si>
    <t>Memories Varadero</t>
  </si>
  <si>
    <t>DELUXE DBL</t>
  </si>
  <si>
    <t>DELUXE SGL</t>
  </si>
  <si>
    <t>CHD + 2 взр  (от 4 до 12 лет)</t>
  </si>
  <si>
    <t>Melia Peninsula Varadero</t>
  </si>
  <si>
    <r>
      <t xml:space="preserve">Gran Caribe                         </t>
    </r>
    <r>
      <rPr>
        <b/>
        <i/>
        <sz val="11"/>
        <color indexed="48"/>
        <rFont val="Arial Cyr"/>
        <family val="0"/>
      </rPr>
      <t>В ДОЛЛАРАХ</t>
    </r>
  </si>
  <si>
    <t>BUNGALOW DBL</t>
  </si>
  <si>
    <t>BUNGALOW SGL</t>
  </si>
  <si>
    <t xml:space="preserve">Внимание! Отель только для взрослых!  </t>
  </si>
  <si>
    <t>DBL FAMILIAR</t>
  </si>
  <si>
    <t>Основное здание</t>
  </si>
  <si>
    <t xml:space="preserve">Rancho Luna </t>
  </si>
  <si>
    <t>Deauville</t>
  </si>
  <si>
    <t>Ocean Varadero el Patriarca</t>
  </si>
  <si>
    <t>CHD + 2 взр (от 3 до 12 лет)</t>
  </si>
  <si>
    <t>Palacio San Felipe y Santiago de Bejucal</t>
  </si>
  <si>
    <t xml:space="preserve">Panorama    </t>
  </si>
  <si>
    <t>Club Tropical</t>
  </si>
  <si>
    <t xml:space="preserve">SUITE  DBL </t>
  </si>
  <si>
    <t xml:space="preserve">SUITE  SGL </t>
  </si>
  <si>
    <t>ROYALTON SUITE  DBL</t>
  </si>
  <si>
    <t>ROYALTON SUITE SGL</t>
  </si>
  <si>
    <t xml:space="preserve">Memories Flamenco </t>
  </si>
  <si>
    <t>Memories Caribe</t>
  </si>
  <si>
    <t>Отель только для взрослых cтарше 18 лет</t>
  </si>
  <si>
    <t>JR SUITE  DBL</t>
  </si>
  <si>
    <t>JR SUITE  SGL</t>
  </si>
  <si>
    <t>AI</t>
  </si>
  <si>
    <t>Brisas Sierra Mar</t>
  </si>
  <si>
    <t xml:space="preserve">DBL  TROPICAL  </t>
  </si>
  <si>
    <t xml:space="preserve">SGL  TROPICAL  </t>
  </si>
  <si>
    <t>Los Delfines 3*</t>
  </si>
  <si>
    <t>СТОИМОСТЬ УКАЗАНА НА ОДНОГО ЧЕЛОВЕКА В НОМЕРЕ!!! СТОИМОСТЬ EXTRA BED И CHD ДАНЫ ТОЛЬКО ДЛЯ СТАНДАРТНЫХ НОМЕРОВ!!!</t>
  </si>
  <si>
    <t>Melia Marina Varadero</t>
  </si>
  <si>
    <r>
      <t xml:space="preserve">ROC                                   </t>
    </r>
    <r>
      <rPr>
        <b/>
        <i/>
        <sz val="11"/>
        <color indexed="48"/>
        <rFont val="Arial Cyr"/>
        <family val="0"/>
      </rPr>
      <t>В  ДОЛЛАРАХ</t>
    </r>
  </si>
  <si>
    <t>JR  SUITE DBL</t>
  </si>
  <si>
    <t>JR  SUITE SGL</t>
  </si>
  <si>
    <t>ROYAL  SUITE DBL</t>
  </si>
  <si>
    <t>ROYAL  SUITE SGL</t>
  </si>
  <si>
    <t>PRESIDENTIAL  SUITE DBL</t>
  </si>
  <si>
    <t>PRESIDENTIAL  SUITE SGL</t>
  </si>
  <si>
    <t>В Jr Suite и Royal Suite размещение max 2 чел, в Presidential Suite max 4 чел (третий и четвёртый в номере -15% от цены)</t>
  </si>
  <si>
    <t xml:space="preserve">Внимание! Отель только для взрослых от 18 лет!  </t>
  </si>
  <si>
    <t>Playa Cayo  Santa  Maria</t>
  </si>
  <si>
    <t>JR SUITE SGL OCEAN VIEW</t>
  </si>
  <si>
    <r>
      <t xml:space="preserve">Islazul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</si>
  <si>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 xml:space="preserve">Islazul  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</si>
  <si>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Terral 4* (на набережной Малекон)</t>
  </si>
  <si>
    <t>Время заселения в гостиницы - 15 или 16 часов</t>
  </si>
  <si>
    <r>
      <t xml:space="preserve">BlueDiamond      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</si>
  <si>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 xml:space="preserve">BlueDiamond                         </t>
    </r>
    <r>
      <rPr>
        <b/>
        <i/>
        <sz val="11"/>
        <color indexed="48"/>
        <rFont val="Arial Cyr"/>
        <family val="0"/>
      </rPr>
      <t>В ДОЛЛАРАХ</t>
    </r>
  </si>
  <si>
    <t>DBL BUNGALOW</t>
  </si>
  <si>
    <t>SGL BUNGALOW</t>
  </si>
  <si>
    <t>FAMILIAR OCEAN  VIEW</t>
  </si>
  <si>
    <t>В номере FAMILIAR разрешается размещение минимально: 2 взр+ 2 реб, 3 взр+ 1 реб // максимально 3 взр+ 3 реб, 2 взр+ 4 реб (расчёт стоимости под запрос)</t>
  </si>
  <si>
    <t>Park Suite DBL</t>
  </si>
  <si>
    <t>Park Suite SGL</t>
  </si>
  <si>
    <t>GRAND VILLAGE DBL</t>
  </si>
  <si>
    <t>GRAND VILLAGE SGL</t>
  </si>
  <si>
    <t>FAMILY GRAND VILLAGE</t>
  </si>
  <si>
    <t>EXTRA BED (3, 4, 5 и 6-й взрослый в номере)</t>
  </si>
  <si>
    <t>Grand Village Suite для туристов от 14 лет (до 3 взр) // Family Grand Village Suite с двумя спальнями  для туристов от 14 лет (от 4 до 6 взр)</t>
  </si>
  <si>
    <r>
      <rPr>
        <sz val="11"/>
        <rFont val="Arial Cyr"/>
        <family val="0"/>
      </rPr>
      <t>Iberostar</t>
    </r>
    <r>
      <rPr>
        <b/>
        <sz val="11"/>
        <rFont val="Arial Cyr"/>
        <family val="2"/>
      </rPr>
      <t xml:space="preserve">  </t>
    </r>
    <r>
      <rPr>
        <b/>
        <sz val="11"/>
        <color indexed="62"/>
        <rFont val="Arial Cyr"/>
        <family val="0"/>
      </rPr>
      <t xml:space="preserve">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</si>
  <si>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 xml:space="preserve">Iberostar Ensenachos  </t>
  </si>
  <si>
    <r>
      <t xml:space="preserve">Iberostar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</si>
  <si>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Доплата за номер Familiar 7 долл с человека, за номер Superior 13 долл с человека</t>
  </si>
  <si>
    <t>PRIVILEGE DELUXE DBL*</t>
  </si>
  <si>
    <t>PRIVILEGE DELUXE SGL*</t>
  </si>
  <si>
    <t>PRIVILEGE JR SUITE DBL*</t>
  </si>
  <si>
    <t>PRIVILEGE JR SUITE SGL*</t>
  </si>
  <si>
    <t xml:space="preserve">Минимальный срок проживания в отеле 3 ночи. *В зоне Privilege размещение только для взрослых от 18 лет! </t>
  </si>
  <si>
    <t xml:space="preserve">CHD + 2 взр  (от 2 до 12 лет)  </t>
  </si>
  <si>
    <t>VILLA PRESIDENCIAL DBL</t>
  </si>
  <si>
    <t xml:space="preserve">JR SUITE DBL </t>
  </si>
  <si>
    <t>DBL THE LEVEL</t>
  </si>
  <si>
    <t>SGL THE LEVEL</t>
  </si>
  <si>
    <t>Melia Marina Varadero APARTMENTS</t>
  </si>
  <si>
    <r>
      <t xml:space="preserve">FAMILIAR JUNIOR SUITE </t>
    </r>
    <r>
      <rPr>
        <b/>
        <sz val="10"/>
        <rFont val="Arial Cyr"/>
        <family val="0"/>
      </rPr>
      <t>(за номер)</t>
    </r>
  </si>
  <si>
    <t xml:space="preserve">DBL  THE LEVEL   </t>
  </si>
  <si>
    <t xml:space="preserve">MASTER  SUITE  DBL THE LEVEL   </t>
  </si>
  <si>
    <t xml:space="preserve">MASTER  SUITE  SGL  THE LEVEL  </t>
  </si>
  <si>
    <t>Meliá Jardines del Rey</t>
  </si>
  <si>
    <t>Во всех категориях номеров максимально разрещение 2 взр+2 реб или 3 взр+1 реб</t>
  </si>
  <si>
    <t>Во всех категориях номеров возможно разрещение 3 взр, 1 взр+3 реб, 2 взр+2 реб или 3 взр+1 реб</t>
  </si>
  <si>
    <r>
      <t xml:space="preserve">GARDEN VILLA ROYAL SERVICE  </t>
    </r>
    <r>
      <rPr>
        <b/>
        <sz val="10"/>
        <rFont val="Arial Cyr"/>
        <family val="0"/>
      </rPr>
      <t>(ЗА ВИЛЛУ)</t>
    </r>
  </si>
  <si>
    <t>SGL  SUPERIOR OCEAN  VIEW</t>
  </si>
  <si>
    <t xml:space="preserve">Bungalow Barcelo Solymar </t>
  </si>
  <si>
    <t>Comendador 3*</t>
  </si>
  <si>
    <t>Park View 3*</t>
  </si>
  <si>
    <t>Hostal Valencia 2*</t>
  </si>
  <si>
    <t>Meson de la Flota 2*</t>
  </si>
  <si>
    <r>
      <t xml:space="preserve">Mercure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</si>
  <si>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DBL OCEAN VIEW</t>
  </si>
  <si>
    <t xml:space="preserve">SUITE SGL </t>
  </si>
  <si>
    <t xml:space="preserve">Отель только для взрослых от 16 лет! </t>
  </si>
  <si>
    <r>
      <t xml:space="preserve">BlueDiamond                          </t>
    </r>
    <r>
      <rPr>
        <b/>
        <i/>
        <sz val="11"/>
        <color indexed="48"/>
        <rFont val="Arial Cyr"/>
        <family val="0"/>
      </rPr>
      <t>В ДОЛЛАРАХ</t>
    </r>
  </si>
  <si>
    <t>JR SUITE OCEAN VIEW DBL</t>
  </si>
  <si>
    <t>JR SUITE OCEAN VIEW SGL</t>
  </si>
  <si>
    <t>NH Capri</t>
  </si>
  <si>
    <r>
      <rPr>
        <i/>
        <sz val="11"/>
        <rFont val="Arial Cyr"/>
        <family val="0"/>
      </rPr>
      <t xml:space="preserve">NH                                            </t>
    </r>
    <r>
      <rPr>
        <b/>
        <i/>
        <sz val="11"/>
        <color indexed="30"/>
        <rFont val="Arial Cyr"/>
        <family val="0"/>
      </rPr>
      <t>В ДОЛЛАРАХ</t>
    </r>
  </si>
  <si>
    <t>Starfish  Cuatro  Palmas</t>
  </si>
  <si>
    <r>
      <t xml:space="preserve">BlueDiamond                             </t>
    </r>
    <r>
      <rPr>
        <b/>
        <i/>
        <sz val="11"/>
        <color indexed="48"/>
        <rFont val="Arial Cyr"/>
        <family val="0"/>
      </rPr>
      <t>В ДОЛЛАРАХ</t>
    </r>
  </si>
  <si>
    <t>DELUXE  DBL</t>
  </si>
  <si>
    <t>DELUXE  SGL</t>
  </si>
  <si>
    <r>
      <t>Iberostar</t>
    </r>
    <r>
      <rPr>
        <i/>
        <sz val="11"/>
        <color indexed="48"/>
        <rFont val="Arial Cyr"/>
        <family val="0"/>
      </rPr>
      <t xml:space="preserve">                                </t>
    </r>
    <r>
      <rPr>
        <b/>
        <i/>
        <sz val="11"/>
        <color indexed="48"/>
        <rFont val="Arial Cyr"/>
        <family val="0"/>
      </rPr>
      <t>В  ДОЛЛАРАХ</t>
    </r>
  </si>
  <si>
    <t>Playa Costa Verde</t>
  </si>
  <si>
    <t>DBL TROPICAL OCEAN VIEW</t>
  </si>
  <si>
    <t>SGL TROPICAL OCEAN VIEW</t>
  </si>
  <si>
    <t>01.05.16 - 14.07.16</t>
  </si>
  <si>
    <t>15.07.16 - 31.08.16</t>
  </si>
  <si>
    <t>01.09.16 - 31.10.16</t>
  </si>
  <si>
    <t>DBL ONE BEDROOM</t>
  </si>
  <si>
    <t>SGL ONE BEDROOM</t>
  </si>
  <si>
    <t xml:space="preserve">DELUXE DBL </t>
  </si>
  <si>
    <t xml:space="preserve">DELUXE  SGL  </t>
  </si>
  <si>
    <t>JR SUITE DBL OCEAN VIEW CONCIERGE SERVICE</t>
  </si>
  <si>
    <t>JR SUITE SGL OCEAN VIEW CONCIERGE SERVICE</t>
  </si>
  <si>
    <t>DBL CLASSIC</t>
  </si>
  <si>
    <t>SGL CLASSIC</t>
  </si>
  <si>
    <t>DBL CLASSIC OCEAN  VIEW</t>
  </si>
  <si>
    <t>SGL CLASSIC OCEAN  VIEW</t>
  </si>
  <si>
    <t xml:space="preserve">В отеле размещение 3-го взрослого в номере не допускается!!! Максимально размещение 2 взрослых+1 ребёнок </t>
  </si>
  <si>
    <t xml:space="preserve">Внимание! Отель только для взрослых c 18 лет!  Максимально размещение 3 взрослых в любой категории номера </t>
  </si>
  <si>
    <t>15.07.16 - 24.08.16</t>
  </si>
  <si>
    <t>25.08.16 - 31.10.16</t>
  </si>
  <si>
    <t>JR SUITE DBL GARDEN VIEW</t>
  </si>
  <si>
    <t>JR SUITE SGL GARDEN VIEW</t>
  </si>
  <si>
    <t>SUITE DBL GARDEN VIEW</t>
  </si>
  <si>
    <t>SUITE SGL GARDEN VIEW</t>
  </si>
  <si>
    <t>SGL OCEAN VIEW</t>
  </si>
  <si>
    <t>JR SUITE DBL OCEAN VIEW ROYAL SERVICE</t>
  </si>
  <si>
    <t>DBL SUPERIOR OCEAN VIEW</t>
  </si>
  <si>
    <t>SGL SUPERIOR OCEAN VIEW</t>
  </si>
  <si>
    <t>JR SUITE SGL OCEAN VIEW THE LEVEL</t>
  </si>
  <si>
    <t>DBL SUPERIOR OCEAN  VIEW</t>
  </si>
  <si>
    <t>SGL SUPERIOR OCEAN  VIEW</t>
  </si>
  <si>
    <t xml:space="preserve">SUITE DBL  </t>
  </si>
  <si>
    <t xml:space="preserve">SUITE SGL  </t>
  </si>
  <si>
    <r>
      <t xml:space="preserve">Islazul 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</si>
  <si>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>Blau</t>
    </r>
    <r>
      <rPr>
        <b/>
        <sz val="11"/>
        <color indexed="48"/>
        <rFont val="Arial Cyr"/>
        <family val="0"/>
      </rPr>
      <t xml:space="preserve">                                         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>В ДОЛЛАРАХ</t>
    </r>
  </si>
  <si>
    <r>
      <t xml:space="preserve">Barcelo                                   </t>
    </r>
    <r>
      <rPr>
        <b/>
        <sz val="11"/>
        <color indexed="12"/>
        <rFont val="Arial Cyr"/>
        <family val="0"/>
      </rPr>
      <t>В ДОЛЛАРАХ</t>
    </r>
  </si>
  <si>
    <t>CHD + 2 взр (от 3 до 12,99 лет в  Jr Suite Saratoga DBL)</t>
  </si>
  <si>
    <t>Pullman - Dos Mares 2*</t>
  </si>
  <si>
    <t>Mar del Sur  2*</t>
  </si>
  <si>
    <t>CHD + 2 взр (до 12 лет)  (без допкровати)</t>
  </si>
  <si>
    <t>CHD + 2 взр (до 12 лет) (с допкроватью)</t>
  </si>
  <si>
    <t>Club Karey</t>
  </si>
  <si>
    <t>Las Americas</t>
  </si>
  <si>
    <t xml:space="preserve">BB </t>
  </si>
  <si>
    <r>
      <rPr>
        <i/>
        <sz val="11"/>
        <rFont val="Arial Cyr"/>
        <family val="0"/>
      </rPr>
      <t xml:space="preserve">Islazul  </t>
    </r>
    <r>
      <rPr>
        <i/>
        <sz val="11"/>
        <color indexed="12"/>
        <rFont val="Arial Cyr"/>
        <family val="0"/>
      </rPr>
      <t xml:space="preserve">                                    </t>
    </r>
    <r>
      <rPr>
        <b/>
        <i/>
        <sz val="11"/>
        <color indexed="12"/>
        <rFont val="Arial Cyr"/>
        <family val="0"/>
      </rPr>
      <t>В ДОЛЛАРАХ</t>
    </r>
  </si>
  <si>
    <r>
      <t xml:space="preserve">Перелет Гавана - Сантьяго-де-Куба - Гавана - </t>
    </r>
    <r>
      <rPr>
        <b/>
        <i/>
        <sz val="11"/>
        <color indexed="10"/>
        <rFont val="Arial Cyr"/>
        <family val="0"/>
      </rPr>
      <t>400 долл</t>
    </r>
    <r>
      <rPr>
        <b/>
        <i/>
        <sz val="11"/>
        <rFont val="Arial Cyr"/>
        <family val="0"/>
      </rPr>
      <t xml:space="preserve">.  Билет в одну сторону - </t>
    </r>
    <r>
      <rPr>
        <b/>
        <i/>
        <sz val="11"/>
        <color indexed="10"/>
        <rFont val="Arial Cyr"/>
        <family val="0"/>
      </rPr>
      <t>200 долл</t>
    </r>
  </si>
  <si>
    <t>ОБЩИЕ УСЛОВИЯ!!! Читать обязательно.</t>
  </si>
  <si>
    <r>
      <t xml:space="preserve">Для расчета турпакета необходимо включить стоимость проживания + авиабилета + трансферов + туристический сбор </t>
    </r>
    <r>
      <rPr>
        <b/>
        <i/>
        <sz val="12"/>
        <color indexed="10"/>
        <rFont val="Arial Cyr"/>
        <family val="0"/>
      </rPr>
      <t>3 долл</t>
    </r>
    <r>
      <rPr>
        <b/>
        <i/>
        <sz val="12"/>
        <color indexed="12"/>
        <rFont val="Arial Cyr"/>
        <family val="0"/>
      </rPr>
      <t xml:space="preserve"> с человека за весь тур + страховку 1,5 долл  в день </t>
    </r>
  </si>
  <si>
    <t>Tulipan</t>
  </si>
  <si>
    <t>GRAND SUITE  DBL</t>
  </si>
  <si>
    <t>GRAND SUITE  SGL</t>
  </si>
  <si>
    <t xml:space="preserve">SGL THE LEVEL  </t>
  </si>
  <si>
    <t xml:space="preserve">JR SUITE  SGL THE LEVEL </t>
  </si>
  <si>
    <r>
      <t xml:space="preserve">Melia       </t>
    </r>
    <r>
      <rPr>
        <b/>
        <sz val="11"/>
        <color indexed="12"/>
        <rFont val="Arial Cyr"/>
        <family val="2"/>
      </rPr>
      <t xml:space="preserve">                              В  ДОЛЛАРАХ </t>
    </r>
    <r>
      <rPr>
        <sz val="11"/>
        <rFont val="Arial Cyr"/>
        <family val="2"/>
      </rPr>
      <t xml:space="preserve">  </t>
    </r>
  </si>
  <si>
    <t>В Jr Suite разрешено размещение max 2 чел, во всех остальных номерах максимально разрещение 2 взр+2 реб или 3 взр</t>
  </si>
  <si>
    <t>Во всех категориях номеров максимально разрещение 2 взр+2 реб, 3 взр, 1 взр+3 реб.</t>
  </si>
  <si>
    <t xml:space="preserve">JR SUITE  DBL THE LEVEL  </t>
  </si>
  <si>
    <t xml:space="preserve">DBL THE LEVEL   </t>
  </si>
  <si>
    <t xml:space="preserve">Ocean Vista Azul  </t>
  </si>
  <si>
    <t>PRIVILEGE DELUXE DBL</t>
  </si>
  <si>
    <t>PRIVILEGE DELUXE SGL</t>
  </si>
  <si>
    <t>PRIVILEGE  DELUXE OCEAN VIEW DBL</t>
  </si>
  <si>
    <t>PRIVILEGE  DELUXE OCEAN VIEW  SGL</t>
  </si>
  <si>
    <t>PRIVILEGE  DELUXE OCEAN FRONT DBL</t>
  </si>
  <si>
    <t>PRIVILEGE  DELUXE OCEAN FRONT  SGL</t>
  </si>
  <si>
    <t>ROYAL MASTER SUITE DBL</t>
  </si>
  <si>
    <t>ROYAL MASTER SUITE SGL</t>
  </si>
  <si>
    <t xml:space="preserve">Максимальное размещение: в номерах Deluxe 2 взр + 2 реб или 3 взр; в номерах Privilege 2 взр + 1 реб или 2 взр </t>
  </si>
  <si>
    <r>
      <t xml:space="preserve"> H10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</si>
  <si>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 xml:space="preserve">Iberostar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</si>
  <si>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STD MODERNO DBL</t>
  </si>
  <si>
    <t>STD MODERNO SGL</t>
  </si>
  <si>
    <t>STD COLONIAL DBL</t>
  </si>
  <si>
    <t>STD COLONIAL SGL</t>
  </si>
  <si>
    <t>STD PARK VIEW DBL</t>
  </si>
  <si>
    <t>STD PARK VIEW SGL</t>
  </si>
  <si>
    <t>JR  SUITE MODERNO DBL</t>
  </si>
  <si>
    <t>JR  SUITE MODERNO SGL</t>
  </si>
  <si>
    <t>JR SUITE COLONIAL DBL</t>
  </si>
  <si>
    <t>JR SUITE COLONIAL SGL</t>
  </si>
  <si>
    <t>JR SUITE PARK VIEW DBL</t>
  </si>
  <si>
    <t>JR SUITE PARK VIEW SGL</t>
  </si>
  <si>
    <t>SUITE  MODERNO DBL</t>
  </si>
  <si>
    <t>SUITE  MODERNO SGL</t>
  </si>
  <si>
    <t>SUITE  COLONIAL DBL</t>
  </si>
  <si>
    <t>SUITE  COLONIAL SGL</t>
  </si>
  <si>
    <t>SUITE PARK VIEW DBL</t>
  </si>
  <si>
    <t>SUITE PARK VIEW SGL</t>
  </si>
  <si>
    <r>
      <t xml:space="preserve">JIBACOA -  ХИБАКОА </t>
    </r>
    <r>
      <rPr>
        <b/>
        <i/>
        <sz val="10"/>
        <rFont val="Arial Cyr"/>
        <family val="0"/>
      </rPr>
      <t>(местечко посередине между Гаваной и Варадеро, в 60 км от Гаваны и в 70 км от Варадеро)</t>
    </r>
  </si>
  <si>
    <t>Memories Jibacoa</t>
  </si>
  <si>
    <t xml:space="preserve">Отель только для взрослых с 16 лет! В номере Suite разрешено размещение max 2 взр. </t>
  </si>
  <si>
    <r>
      <t xml:space="preserve">BlueDiamond     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</si>
  <si>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 xml:space="preserve">Gran Caribe                            </t>
    </r>
    <r>
      <rPr>
        <b/>
        <i/>
        <sz val="11"/>
        <color indexed="48"/>
        <rFont val="Arial Cyr"/>
        <family val="0"/>
      </rPr>
      <t>В ДОЛЛАРАХ</t>
    </r>
  </si>
  <si>
    <t xml:space="preserve">Starfish Montehabana </t>
  </si>
  <si>
    <t xml:space="preserve">Memories Miramar </t>
  </si>
  <si>
    <t xml:space="preserve">SUITE  SGL  </t>
  </si>
  <si>
    <r>
      <t xml:space="preserve">Cubanacan                             </t>
    </r>
    <r>
      <rPr>
        <b/>
        <i/>
        <sz val="11"/>
        <color indexed="48"/>
        <rFont val="Arial Cyr"/>
        <family val="0"/>
      </rPr>
      <t>В   ДОЛЛАРАХ</t>
    </r>
  </si>
  <si>
    <t>DBL  Южное крыло</t>
  </si>
  <si>
    <t>SGL  Южное крыло</t>
  </si>
  <si>
    <t>EXTRA BED Южное крыло</t>
  </si>
  <si>
    <t>DBL  Северное крыло</t>
  </si>
  <si>
    <t>SGL Северное крыло</t>
  </si>
  <si>
    <t>EXTRA BED Северное крыло</t>
  </si>
  <si>
    <r>
      <t xml:space="preserve">Cubanacan                           </t>
    </r>
    <r>
      <rPr>
        <sz val="11"/>
        <color indexed="12"/>
        <rFont val="Arial Cyr"/>
        <family val="0"/>
      </rPr>
      <t xml:space="preserve"> </t>
    </r>
    <r>
      <rPr>
        <b/>
        <i/>
        <sz val="11"/>
        <color indexed="48"/>
        <rFont val="Arial Cyr"/>
        <family val="0"/>
      </rPr>
      <t>В   ДОЛЛАРАХ</t>
    </r>
  </si>
  <si>
    <r>
      <t xml:space="preserve">Cubanacan               </t>
    </r>
    <r>
      <rPr>
        <sz val="11"/>
        <color indexed="12"/>
        <rFont val="Arial Cyr"/>
        <family val="0"/>
      </rPr>
      <t xml:space="preserve">            </t>
    </r>
    <r>
      <rPr>
        <b/>
        <i/>
        <sz val="11"/>
        <color indexed="48"/>
        <rFont val="Arial Cyr"/>
        <family val="0"/>
      </rPr>
      <t>В   ДОЛЛАРАХ</t>
    </r>
  </si>
  <si>
    <r>
      <t xml:space="preserve">Cubanacan                           </t>
    </r>
    <r>
      <rPr>
        <b/>
        <i/>
        <sz val="11"/>
        <color indexed="48"/>
        <rFont val="Arial Cyr"/>
        <family val="0"/>
      </rPr>
      <t>В   ДОЛЛАРАХ</t>
    </r>
  </si>
  <si>
    <t>EXTRA BED в Bungalow</t>
  </si>
  <si>
    <t>Casa Granda</t>
  </si>
  <si>
    <r>
      <t xml:space="preserve">Cubanacan                            </t>
    </r>
    <r>
      <rPr>
        <sz val="11"/>
        <color indexed="12"/>
        <rFont val="Arial Cyr"/>
        <family val="0"/>
      </rPr>
      <t xml:space="preserve"> </t>
    </r>
    <r>
      <rPr>
        <b/>
        <i/>
        <sz val="11"/>
        <color indexed="48"/>
        <rFont val="Arial Cyr"/>
        <family val="0"/>
      </rPr>
      <t>В   ДОЛЛАРАХ</t>
    </r>
  </si>
  <si>
    <r>
      <t xml:space="preserve">Cubanacan                         </t>
    </r>
    <r>
      <rPr>
        <sz val="11"/>
        <color indexed="12"/>
        <rFont val="Arial Cyr"/>
        <family val="0"/>
      </rPr>
      <t xml:space="preserve"> </t>
    </r>
    <r>
      <rPr>
        <b/>
        <i/>
        <sz val="11"/>
        <color indexed="48"/>
        <rFont val="Arial Cyr"/>
        <family val="0"/>
      </rPr>
      <t>В   ДОЛЛАРАХ</t>
    </r>
  </si>
  <si>
    <t>Royalton  Hicacos</t>
  </si>
  <si>
    <t>CHD  + 2 взр (от 2 до 12 лет)</t>
  </si>
  <si>
    <t>Las  Palmas 3*</t>
  </si>
  <si>
    <t>BB!!!</t>
  </si>
  <si>
    <t xml:space="preserve">Размещение 3-го взрослого в номере не допускается. Отель работает на базе завтрака! </t>
  </si>
  <si>
    <t xml:space="preserve">Grand Memories Varadero </t>
  </si>
  <si>
    <t>SUITE SANCTURARY DBL*</t>
  </si>
  <si>
    <t>SUITE SANCTURARY SGL*</t>
  </si>
  <si>
    <t>BUNGALOW DBL OCEAN VIEW</t>
  </si>
  <si>
    <t>BUNGALOW SGL OCEAN VIEW</t>
  </si>
  <si>
    <r>
      <t xml:space="preserve">Gaviota                  </t>
    </r>
    <r>
      <rPr>
        <sz val="11"/>
        <rFont val="Arial Cyr"/>
        <family val="2"/>
      </rPr>
      <t xml:space="preserve">       </t>
    </r>
    <r>
      <rPr>
        <b/>
        <sz val="11"/>
        <color indexed="12"/>
        <rFont val="Arial Cyr"/>
        <family val="2"/>
      </rPr>
      <t xml:space="preserve">            В  ДОЛЛАРАХ  </t>
    </r>
  </si>
  <si>
    <t xml:space="preserve">Доплата за номер с видом на море  13 долларов  за человека в сутки </t>
  </si>
  <si>
    <t>DUPLEX SUITE DBL</t>
  </si>
  <si>
    <t>DUPLEX SUITE SGL</t>
  </si>
  <si>
    <r>
      <t xml:space="preserve">CAYO COCO    -  ОСТРОВ  КАЙО  КОКО </t>
    </r>
    <r>
      <rPr>
        <i/>
        <sz val="12"/>
        <rFont val="Arial Cyr"/>
        <family val="2"/>
      </rPr>
      <t>(Атлантический океан - Северное побережье)</t>
    </r>
  </si>
  <si>
    <t>Pullman Cayo Coco</t>
  </si>
  <si>
    <t>DELUXE LAGUNA SGL</t>
  </si>
  <si>
    <t>DELUXE LAGUNA EXTRA BED</t>
  </si>
  <si>
    <t>DELUXE GARDEN VIEW DBL</t>
  </si>
  <si>
    <r>
      <t xml:space="preserve">Iberostar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</si>
  <si>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Iberostar Playa Pilar</t>
  </si>
  <si>
    <t xml:space="preserve">DBL OCEAN VIEW </t>
  </si>
  <si>
    <t xml:space="preserve">SGL OCEAN VIEW </t>
  </si>
  <si>
    <t>SWIM OUT SUITE  SGL</t>
  </si>
  <si>
    <t>FAMILIAR PREMIIUM</t>
  </si>
  <si>
    <t>SWIM OUT SUITE DBL</t>
  </si>
  <si>
    <t>Максимальное размещение: в номерах STD и Superior: 2 взр+2 реб/3 взр; в номерах Familiar: 2 взр +3 ребенка/3 взр+1 реб.</t>
  </si>
  <si>
    <t>Максимальное размещение: в Jr Suite: 2 взр+2 реб/3 взр; В Suite - 2 взр+1 реб/3 взр</t>
  </si>
  <si>
    <t xml:space="preserve">Starfish Cayo Santa Maria </t>
  </si>
  <si>
    <t xml:space="preserve">SUITE OCEAN VIEW SGL  </t>
  </si>
  <si>
    <t xml:space="preserve">SUITE OCEAN VIEW DBL </t>
  </si>
  <si>
    <t>Memories Holguin</t>
  </si>
  <si>
    <t>Ocean Casa del Mar</t>
  </si>
  <si>
    <t xml:space="preserve">3*  </t>
  </si>
  <si>
    <t xml:space="preserve">DBL   </t>
  </si>
  <si>
    <t xml:space="preserve">SGL   </t>
  </si>
  <si>
    <t xml:space="preserve">EXTRA  BED  </t>
  </si>
  <si>
    <r>
      <t xml:space="preserve">Gran Caribe         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</si>
  <si>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 xml:space="preserve">Gran Caribe                              </t>
    </r>
    <r>
      <rPr>
        <b/>
        <i/>
        <sz val="11"/>
        <color indexed="48"/>
        <rFont val="Arial Cyr"/>
        <family val="0"/>
      </rPr>
      <t>В ДОЛЛАРАХ</t>
    </r>
  </si>
  <si>
    <t xml:space="preserve">    Путеводитель по курортам: </t>
  </si>
  <si>
    <t>Гавана (осн. часть)</t>
  </si>
  <si>
    <t xml:space="preserve"> - Историческая часть Гаваны</t>
  </si>
  <si>
    <t xml:space="preserve"> - Восточные пляжи Гаваны</t>
  </si>
  <si>
    <t xml:space="preserve"> - Хибакоа</t>
  </si>
  <si>
    <t>Варадеро</t>
  </si>
  <si>
    <t>Тринидад</t>
  </si>
  <si>
    <t>Сьенфуэгос</t>
  </si>
  <si>
    <t>Кайо Ларго</t>
  </si>
  <si>
    <t>Кайо Энсеначос</t>
  </si>
  <si>
    <t>Кайо Санта Мария</t>
  </si>
  <si>
    <t>Кайо Коко</t>
  </si>
  <si>
    <t>Кайо Гильермо</t>
  </si>
  <si>
    <t>Ольгин</t>
  </si>
  <si>
    <t>Сантьяго-де-Куба</t>
  </si>
  <si>
    <t>Кубинский туроператор Havanatour International</t>
  </si>
  <si>
    <t xml:space="preserve">            Острова:</t>
  </si>
  <si>
    <t>Melia Las Antillas 4*</t>
  </si>
  <si>
    <t>ДЛЯ БРОНИРОВАНИЙ С 13.05.16 ПО 30.06.16!!!</t>
  </si>
  <si>
    <t xml:space="preserve">Iberostar Playa Blanca  </t>
  </si>
  <si>
    <t>CПЕЦПРЕДЛОЖЕНИЕ ОТ 14.06.16</t>
  </si>
  <si>
    <t>ДЛЯ БРОНИРОВАНИЙ С 14.06.16 ПО 30.06.16</t>
  </si>
  <si>
    <t>в брони указать SS1OVP</t>
  </si>
  <si>
    <t>JUNIOR SUITE DBL CONCIERGE FAMILY</t>
  </si>
  <si>
    <t>JUNIOR SUITE SGL CONCIERGE FAMILY</t>
  </si>
  <si>
    <t>JUNIOR SUITE  DBL  ROYAL SERVICE</t>
  </si>
  <si>
    <t>JUNIOR SUITE  SGL  ROYAL SERVICE</t>
  </si>
  <si>
    <t xml:space="preserve">Junior Suite Ocean View  DBL  Royal Service  </t>
  </si>
  <si>
    <t xml:space="preserve">Junior Suite Ocean View  SGL  Royal Service  </t>
  </si>
  <si>
    <t>01.05.17 - 14.07.17</t>
  </si>
  <si>
    <t>15.07.17 - 24.08.17</t>
  </si>
  <si>
    <t>25.08.17 - 31.10.17</t>
  </si>
  <si>
    <r>
      <t xml:space="preserve">Melia       </t>
    </r>
    <r>
      <rPr>
        <b/>
        <sz val="11"/>
        <color indexed="12"/>
        <rFont val="Arial Cyr"/>
        <family val="2"/>
      </rPr>
      <t xml:space="preserve">                                   В  ДОЛЛАРАХ </t>
    </r>
    <r>
      <rPr>
        <sz val="11"/>
        <rFont val="Arial Cyr"/>
        <family val="2"/>
      </rPr>
      <t xml:space="preserve">  </t>
    </r>
  </si>
  <si>
    <t>JR SUITE DBL GARDEN SWIM-UP POOL ROYAL SERVICE</t>
  </si>
  <si>
    <t xml:space="preserve">В номере Master Suite One Bedroom Concierge Family размещение от 2 до 4 чел. </t>
  </si>
  <si>
    <t xml:space="preserve">   Внимание! Отель только для взрослых от 18 лет!         Размещение 3-го взрослого в номере не допускается</t>
  </si>
  <si>
    <t xml:space="preserve">JR SUITE DBL OCEAN VIEW </t>
  </si>
  <si>
    <t xml:space="preserve">JR SUITE SGL OCEAN VIEW </t>
  </si>
  <si>
    <t xml:space="preserve">JR SUITE DBL ROYAL SERVICE </t>
  </si>
  <si>
    <t xml:space="preserve">SUITE DBL ROYAL SERVICE </t>
  </si>
  <si>
    <r>
      <t xml:space="preserve">Melia       </t>
    </r>
    <r>
      <rPr>
        <b/>
        <sz val="11"/>
        <color indexed="12"/>
        <rFont val="Arial Cyr"/>
        <family val="2"/>
      </rPr>
      <t xml:space="preserve">                                  В  ДОЛЛАРАХ </t>
    </r>
    <r>
      <rPr>
        <sz val="11"/>
        <rFont val="Arial Cyr"/>
        <family val="2"/>
      </rPr>
      <t xml:space="preserve">  </t>
    </r>
  </si>
  <si>
    <t>DBL 1 BEDROOM</t>
  </si>
  <si>
    <t>SGL 1 BEDROOM</t>
  </si>
  <si>
    <r>
      <t xml:space="preserve">FAMILIAR </t>
    </r>
    <r>
      <rPr>
        <b/>
        <sz val="10"/>
        <rFont val="Arial Cyr"/>
        <family val="0"/>
      </rPr>
      <t>(цена за номер)</t>
    </r>
  </si>
  <si>
    <r>
      <t xml:space="preserve">Melia       </t>
    </r>
    <r>
      <rPr>
        <b/>
        <sz val="11"/>
        <color indexed="12"/>
        <rFont val="Arial Cyr"/>
        <family val="2"/>
      </rPr>
      <t xml:space="preserve">                                    В  ДОЛЛАРАХ </t>
    </r>
    <r>
      <rPr>
        <sz val="11"/>
        <rFont val="Arial Cyr"/>
        <family val="2"/>
      </rPr>
      <t xml:space="preserve">  </t>
    </r>
  </si>
  <si>
    <t>GRAND SUITE DBL THE LEVEL</t>
  </si>
  <si>
    <t>Допускается размещение 3 взр или 2 взр+2 реб. В Grand Suite The Level 2 взр+1 реб или 3 взр.</t>
  </si>
  <si>
    <t>ПРИ БРОНИРОВАНИИ ОТЕЛЯ МИНИМУМ ЗА 30 ДНЕЙ ДО ЗАЕЗДА СКИДКА 15%  (для всех категорий номеров, кроме Grand Suite)</t>
  </si>
  <si>
    <t xml:space="preserve">Во всех категориях номеров максимальное размещение 2 взр+2 реб, 3 взр, в номере Presidential Suite -  4 чел. </t>
  </si>
  <si>
    <t>01.05.17 - 31.10.17</t>
  </si>
  <si>
    <r>
      <t xml:space="preserve">Iberostar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</si>
  <si>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PRESIDENСIAL SUITE  (за номер, max 4 чел)</t>
  </si>
  <si>
    <t xml:space="preserve">DBL FAMILIAR </t>
  </si>
  <si>
    <t>Iberostar Bella Vista</t>
  </si>
  <si>
    <t>DBL ELITE</t>
  </si>
  <si>
    <t>SGL ELITE</t>
  </si>
  <si>
    <t xml:space="preserve">В зоне Elite и в Jr Suite  размещение только для взрослых от 18 лет! </t>
  </si>
  <si>
    <t xml:space="preserve">В номере Park Suite возможно размещение 2 взр+2 реб или 3 взр //  Spa и Duplex Suite только для взрослых от 18 лет, максимально 3 взр. </t>
  </si>
  <si>
    <t>В номерах Standard и Superior размещение 3 взр или 2 взр+1 реб. В номере Jr Suite допускается размещение 2 взр+2 реб</t>
  </si>
  <si>
    <t>В номере Suite разрешено размещение 3 взр или 2 взр+2 реб. В остальных категориях номеров допускается размещение 3 взр или 2 взр+1 реб</t>
  </si>
  <si>
    <r>
      <t xml:space="preserve">Трансфер групповой отель в Гаване - отель на Кайо Энсеначос - </t>
    </r>
    <r>
      <rPr>
        <b/>
        <i/>
        <sz val="11"/>
        <color indexed="10"/>
        <rFont val="Arial Cyr"/>
        <family val="0"/>
      </rPr>
      <t>40 долл  OW</t>
    </r>
  </si>
  <si>
    <r>
      <t xml:space="preserve">Трансфер групповой отель на Кайо Энсеначос - отель на Варадеро - </t>
    </r>
    <r>
      <rPr>
        <b/>
        <i/>
        <sz val="11"/>
        <color indexed="10"/>
        <rFont val="Arial Cyr"/>
        <family val="0"/>
      </rPr>
      <t>35 долл OW</t>
    </r>
  </si>
  <si>
    <r>
      <t xml:space="preserve">Трансфер групповой отель в Гаване - отель на Кайо Санта Мария  (выезд в 6.00) - </t>
    </r>
    <r>
      <rPr>
        <b/>
        <i/>
        <sz val="11"/>
        <color indexed="10"/>
        <rFont val="Arial Cyr"/>
        <family val="0"/>
      </rPr>
      <t xml:space="preserve">40 долл OW   </t>
    </r>
  </si>
  <si>
    <r>
      <t xml:space="preserve">Трансфер групповой отель на Кайо Санта Мария - отель в Гаване (выезд в 14.00) - </t>
    </r>
    <r>
      <rPr>
        <b/>
        <i/>
        <sz val="11"/>
        <color indexed="10"/>
        <rFont val="Arial Cyr"/>
        <family val="0"/>
      </rPr>
      <t xml:space="preserve">40 долл OW   </t>
    </r>
  </si>
  <si>
    <r>
      <t xml:space="preserve">Трансфер групповой отель на Кайо Санта Мария - отель на Варадеро - </t>
    </r>
    <r>
      <rPr>
        <b/>
        <i/>
        <sz val="11"/>
        <color indexed="10"/>
        <rFont val="Arial Cyr"/>
        <family val="0"/>
      </rPr>
      <t>35 долл OW</t>
    </r>
  </si>
  <si>
    <r>
      <rPr>
        <i/>
        <sz val="11"/>
        <rFont val="Arial Cyr"/>
        <family val="0"/>
      </rPr>
      <t xml:space="preserve">ROC                                           </t>
    </r>
    <r>
      <rPr>
        <b/>
        <i/>
        <sz val="11"/>
        <color indexed="30"/>
        <rFont val="Arial Cyr"/>
        <family val="0"/>
      </rPr>
      <t>В ДОЛЛАРАХ</t>
    </r>
  </si>
  <si>
    <r>
      <t>Трансферы  групповые</t>
    </r>
    <r>
      <rPr>
        <i/>
        <sz val="14"/>
        <rFont val="Arial Cyr"/>
        <family val="0"/>
      </rPr>
      <t xml:space="preserve"> </t>
    </r>
    <r>
      <rPr>
        <i/>
        <sz val="12"/>
        <rFont val="Arial Cyr"/>
        <family val="2"/>
      </rPr>
      <t>подаются под международные рейсы Аэрофлот, Air France, KLM, Condor, Air Berlin, Air Europa, Copa, Taca, LAN, Virgin Atlantic, Avianca. На все остальные вылеты или прилеты заказывается индивидуальный трансфер.</t>
    </r>
  </si>
  <si>
    <t>Habana 612  3*</t>
  </si>
  <si>
    <t xml:space="preserve">Доплата за номера Duplex, Jr Suite, Suite под запрос </t>
  </si>
  <si>
    <t>DBL SELECT OCEAN VIEW</t>
  </si>
  <si>
    <t>SGL SELECT OCEAN VIEW</t>
  </si>
  <si>
    <t xml:space="preserve">Внимание! Отель только для взрослых c 18 лет! </t>
  </si>
  <si>
    <t>DBL без балкона</t>
  </si>
  <si>
    <t>SGL без балкона</t>
  </si>
  <si>
    <t>EXTRA  BED без балкона</t>
  </si>
  <si>
    <t>DBL с балконом</t>
  </si>
  <si>
    <t>SGL с балконом</t>
  </si>
  <si>
    <t>EXTRA  BED с балконом</t>
  </si>
  <si>
    <t>DBL Superior</t>
  </si>
  <si>
    <r>
      <t xml:space="preserve">Cubanacan                             </t>
    </r>
    <r>
      <rPr>
        <sz val="11"/>
        <color indexed="12"/>
        <rFont val="Arial Cyr"/>
        <family val="0"/>
      </rPr>
      <t xml:space="preserve"> </t>
    </r>
    <r>
      <rPr>
        <b/>
        <i/>
        <sz val="11"/>
        <color indexed="48"/>
        <rFont val="Arial Cyr"/>
        <family val="0"/>
      </rPr>
      <t>В   ДОЛЛАРАХ</t>
    </r>
  </si>
  <si>
    <t xml:space="preserve">Comodoro  Bungalow Alborada </t>
  </si>
  <si>
    <t>JR SUITE SANCTUARY  DBL*</t>
  </si>
  <si>
    <t>JR SUITE SANCTUARY  SGL*</t>
  </si>
  <si>
    <t>Максимальное размещение: в номере STD 2 взр + 2 реб, 3 взр+ 1 реб; зона Sancturary только для взрослых!  - max 3 взр</t>
  </si>
  <si>
    <t>Pelicano</t>
  </si>
  <si>
    <t>Во всех категориях номеров максимально  3 взр+1 реб, 1 взр+3 реб или 3 взр</t>
  </si>
  <si>
    <t>Villa Iguana</t>
  </si>
  <si>
    <t>Отель только для взрослых от 16 лет! Во всех категориях номеров максимально 3 взр</t>
  </si>
  <si>
    <t>SGL Superior</t>
  </si>
  <si>
    <t>Максимальное размещение: в номере Deluxe 2 взр + 2 реб, 3 взр+ 1 реб; в номере Suite 2 взр + 1 реб, 3 взр</t>
  </si>
  <si>
    <t>PRIVILEGE  SUITE DBL</t>
  </si>
  <si>
    <t>PRIVILEGE  SUITE SGL</t>
  </si>
  <si>
    <t>1 ребенок + 2 взр  (от 2 до 12 лет)</t>
  </si>
  <si>
    <t>2-й, 3-й, 4-й ребенок + 2 взр  (от 2 до 12 лет)</t>
  </si>
  <si>
    <t>Подростки 12 - 18 лет</t>
  </si>
  <si>
    <t>CHD + 2 взр (от 2 до 12 лет) без балкона</t>
  </si>
  <si>
    <t>CHD + 2 взр (от 2 до 12 лет) с балконом</t>
  </si>
  <si>
    <t>Four Points by Sheraton Havana</t>
  </si>
  <si>
    <r>
      <t xml:space="preserve">Sheraton                             </t>
    </r>
    <r>
      <rPr>
        <b/>
        <sz val="11"/>
        <color indexed="12"/>
        <rFont val="Arial Cyr"/>
        <family val="2"/>
      </rPr>
      <t xml:space="preserve">     В  ДОЛЛАРАХ </t>
    </r>
  </si>
  <si>
    <t xml:space="preserve">Starfish  Varadero  </t>
  </si>
  <si>
    <t xml:space="preserve">Royalton Cayo Santa Maria </t>
  </si>
  <si>
    <t>CHD + 2 взр (до 5 лет)</t>
  </si>
  <si>
    <t>CHD + 2 взр (от 5 до 12 лет)</t>
  </si>
  <si>
    <t>DELUXE LAGUNA VIEW DBL</t>
  </si>
  <si>
    <t>DELUXE LAGUNA VIEW SGL</t>
  </si>
  <si>
    <t>Pestana Cayo Coco</t>
  </si>
  <si>
    <r>
      <t xml:space="preserve">Pestana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</si>
  <si>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Be Live Experience Varadero</t>
  </si>
  <si>
    <t>ex Villa Cuba</t>
  </si>
  <si>
    <t>Доплата за номер Superior - 7 долл с чел в сутки</t>
  </si>
  <si>
    <t xml:space="preserve">Внимание! Отель только для взрослых c 16 лет! </t>
  </si>
  <si>
    <t>Внимание! Отель только для взрослых c 18 лет!  В отеле размещение 3-го человека в номере не допускается</t>
  </si>
  <si>
    <t xml:space="preserve">San Alejandro </t>
  </si>
  <si>
    <t xml:space="preserve">Lincoln </t>
  </si>
  <si>
    <t xml:space="preserve">Lido  </t>
  </si>
  <si>
    <t xml:space="preserve">LUXURY JR SUITE DBL </t>
  </si>
  <si>
    <t xml:space="preserve">JR SUITE DBL OCEAN VIEW ROYAL SERVICE </t>
  </si>
  <si>
    <t xml:space="preserve">ПРИ БРОНИРОВАНИИ ОТЕЛЯ МИНИМУМ ЗА 30 ДНЕЙ ДО ЗАЕЗДА СКИДКА 20%  (для категорий Jr Suite Royal Service и Jr Suite Royal Service Ocean View) </t>
  </si>
  <si>
    <t xml:space="preserve">ПРИ БРОНИРОВАНИИ ОТЕЛЯ МИНИМУМ ЗА 30 ДНЕЙ ДО ЗАЕЗДА СКИДКА 15%  </t>
  </si>
  <si>
    <t>GRAND PREMIUM  VISTA LAGUNA DBL</t>
  </si>
  <si>
    <t>GRAND PREMIUM VISTA LAGUNA SGL</t>
  </si>
  <si>
    <t>GRAND SUITE  LAGUNA DBL</t>
  </si>
  <si>
    <t>GRAND SUITE  LAGUNA SGL</t>
  </si>
  <si>
    <r>
      <t xml:space="preserve">Melia       </t>
    </r>
    <r>
      <rPr>
        <b/>
        <sz val="11"/>
        <color indexed="12"/>
        <rFont val="Arial Cyr"/>
        <family val="2"/>
      </rPr>
      <t xml:space="preserve">                                В  ДОЛЛАРАХ </t>
    </r>
    <r>
      <rPr>
        <sz val="11"/>
        <rFont val="Arial Cyr"/>
        <family val="2"/>
      </rPr>
      <t xml:space="preserve">  </t>
    </r>
  </si>
  <si>
    <t>DBL  PREMIUM</t>
  </si>
  <si>
    <t>SGL  PREMIUM</t>
  </si>
  <si>
    <t xml:space="preserve">SGL SUPERIOR  </t>
  </si>
  <si>
    <r>
      <t xml:space="preserve">Saratoga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</si>
  <si>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 xml:space="preserve">Sercotel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</si>
  <si>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 xml:space="preserve">Sercotel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</si>
  <si>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Sercotel Experience Cayo Santa Maria</t>
  </si>
  <si>
    <t>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</t>
  </si>
  <si>
    <t>Трансферы Гавана, Варадеро (цены на остальные трансферы указаны после каждого курорта)</t>
  </si>
  <si>
    <t>ЦЕНА ЗА НОМЕР! БЕЗ ПИТАНИЯ!</t>
  </si>
  <si>
    <r>
      <t xml:space="preserve">APARTMENT STUDIO </t>
    </r>
    <r>
      <rPr>
        <b/>
        <sz val="9"/>
        <color indexed="10"/>
        <rFont val="Arial Cyr"/>
        <family val="0"/>
      </rPr>
      <t xml:space="preserve"> </t>
    </r>
  </si>
  <si>
    <r>
      <t xml:space="preserve">1 BEDROOM APARTMENT  </t>
    </r>
    <r>
      <rPr>
        <b/>
        <sz val="9"/>
        <color indexed="10"/>
        <rFont val="Arial Cyr"/>
        <family val="0"/>
      </rPr>
      <t xml:space="preserve"> </t>
    </r>
  </si>
  <si>
    <r>
      <t xml:space="preserve">2 BEDROOM APARTMENT </t>
    </r>
    <r>
      <rPr>
        <b/>
        <sz val="9"/>
        <color indexed="10"/>
        <rFont val="Arial Cyr"/>
        <family val="0"/>
      </rPr>
      <t xml:space="preserve"> </t>
    </r>
  </si>
  <si>
    <r>
      <t xml:space="preserve">3 BEDROOM APARTMENT  </t>
    </r>
    <r>
      <rPr>
        <b/>
        <sz val="9"/>
        <color indexed="10"/>
        <rFont val="Arial Cyr"/>
        <family val="0"/>
      </rPr>
      <t xml:space="preserve"> </t>
    </r>
  </si>
  <si>
    <t>St. John's   -  Vedado 3*</t>
  </si>
  <si>
    <t>*cкидка раннего бронирования не даётся с доплаты за Sgl!</t>
  </si>
  <si>
    <t xml:space="preserve">*cкидка раннего бронирования не даётся с доплаты за Sgl! На категории номеров по спецпредложению скидка раннего бронирования не  действует! </t>
  </si>
  <si>
    <t>Gran Hotel Manzana Kempinski</t>
  </si>
  <si>
    <t xml:space="preserve">НОВЫЙ </t>
  </si>
  <si>
    <t>PATIO  DBL</t>
  </si>
  <si>
    <t>PATIO  SGL</t>
  </si>
  <si>
    <t>GRAND DELUXE DBL</t>
  </si>
  <si>
    <t>GRAND DELUXE SGL</t>
  </si>
  <si>
    <t>CHD + 2 взр (от 0 до 5 лет)</t>
  </si>
  <si>
    <t>CHD + 2 взр (от 6 до 12 лет)</t>
  </si>
  <si>
    <t>HAMINGUEY JR SUITE DBL</t>
  </si>
  <si>
    <t>HAMINGUEY JR SUITE SGL</t>
  </si>
  <si>
    <t xml:space="preserve">JR SUITE DBL CONSTANTE </t>
  </si>
  <si>
    <t>SUITE MEZZANINE DBL</t>
  </si>
  <si>
    <t>SUITE MEZZANINE SGL</t>
  </si>
  <si>
    <t>SUITE ESQUINA DBL</t>
  </si>
  <si>
    <t>SUITE ESQUINA SGL</t>
  </si>
  <si>
    <t>Минимальное количество проживания - 2 ночи</t>
  </si>
  <si>
    <t>Максимальное размещение: Patio и Deluxe - 2 взр, остальные категории номеров - 2 взр+1 реб или 3 взр</t>
  </si>
  <si>
    <r>
      <t xml:space="preserve">            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</si>
  <si>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Трансферы премиум класса:</t>
  </si>
  <si>
    <r>
      <t xml:space="preserve">Трансфер аэропорт Гаваны - отели Гаваны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Renault Dynamique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VW Passat </t>
    </r>
    <r>
      <rPr>
        <sz val="11"/>
        <rFont val="Arial Cyr"/>
        <family val="0"/>
      </rPr>
      <t>или</t>
    </r>
    <r>
      <rPr>
        <sz val="11"/>
        <color indexed="12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- 70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</si>
  <si>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Варадеро - отели Варадеро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Renault Dynamique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VW Passat </t>
    </r>
    <r>
      <rPr>
        <sz val="11"/>
        <rFont val="Arial Cyr"/>
        <family val="0"/>
      </rPr>
      <t>или</t>
    </r>
    <r>
      <rPr>
        <sz val="11"/>
        <color indexed="12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- 70 долл</t>
    </r>
    <r>
      <rPr>
        <i/>
        <sz val="11"/>
        <rFont val="Arial Cyr"/>
        <family val="2"/>
      </rPr>
      <t xml:space="preserve"> (1-3 чел.) </t>
    </r>
  </si>
  <si>
    <t>CHD + 2 взр (от 2 до 13 лет)</t>
  </si>
  <si>
    <t>EXTRA BED TROPICAL OCEAN  SIDE</t>
  </si>
  <si>
    <t xml:space="preserve">                                               ЦЕНОВОЙ КАТAЛОГ ЛЕТО - ОСЕНЬ 2018 ГОДА </t>
  </si>
  <si>
    <t>JUNIOR SUITE DBL CONCIERGE FAMILY GARDEN SWIM-UP</t>
  </si>
  <si>
    <t>JUNIOR SUITE SGL CONCIERGE FAMILY GARDEN SWIM-UP</t>
  </si>
  <si>
    <t xml:space="preserve">Номера Royal Service и Garden Villa только для взрослых от 18 лет, max 2 взр! В остальных номерах допустимо размещение 3 взр, 2 взр + 2 реб. </t>
  </si>
  <si>
    <t xml:space="preserve">В номере Master Suite Two Bedroom Concierge Family размещение min 4 взр, max 6 взр+1 реб. </t>
  </si>
  <si>
    <t>ПРИ БРОНИРОВАНИИ ОТЕЛЯ МИНИМУМ ЗА 30 ДНЕЙ ДО ЗАЕЗДА СКИДКА 20%  (для всех категорий, кроме помеченных *)</t>
  </si>
  <si>
    <t>01.05.18 - 14.07.18</t>
  </si>
  <si>
    <t>15.07.18 - 24.08.18</t>
  </si>
  <si>
    <t>25.08.18 - 31.10.18</t>
  </si>
  <si>
    <t>первый CHD + 2 взр  (от 2 до 12 лет)</t>
  </si>
  <si>
    <t>второй CHD + 2 взр  (от 2 до 12 лет)</t>
  </si>
  <si>
    <t xml:space="preserve">LUXURY JR SUITE DBL ROYAL SERVICE </t>
  </si>
  <si>
    <t>MASTER JR SUITE DBL GARDEN SWIM-UP ROYAL SERVICE</t>
  </si>
  <si>
    <t>03.05.18 - 31.10.18</t>
  </si>
  <si>
    <t>01.05.18 - 02.05.18</t>
  </si>
  <si>
    <r>
      <t>SUITE  SGL OCEAN VIEW</t>
    </r>
    <r>
      <rPr>
        <sz val="14"/>
        <rFont val="Arial Cyr"/>
        <family val="0"/>
      </rPr>
      <t>*</t>
    </r>
  </si>
  <si>
    <r>
      <t>SUITE  DBL  OCEAN VIEW</t>
    </r>
    <r>
      <rPr>
        <sz val="14"/>
        <rFont val="Arial Cyr"/>
        <family val="0"/>
      </rPr>
      <t>*</t>
    </r>
  </si>
  <si>
    <r>
      <t>SUITE PRESIDENCIAL ROYAL SERVICE  (</t>
    </r>
    <r>
      <rPr>
        <b/>
        <sz val="10"/>
        <rFont val="Arial Cyr"/>
        <family val="0"/>
      </rPr>
      <t>за номер</t>
    </r>
    <r>
      <rPr>
        <sz val="10"/>
        <rFont val="Arial Cyr"/>
        <family val="0"/>
      </rPr>
      <t>)</t>
    </r>
    <r>
      <rPr>
        <sz val="14"/>
        <rFont val="Arial Cyr"/>
        <family val="0"/>
      </rPr>
      <t>*</t>
    </r>
  </si>
  <si>
    <r>
      <t>GARDEN VILLA ROYAL SERVICE  (</t>
    </r>
    <r>
      <rPr>
        <b/>
        <sz val="10"/>
        <color indexed="8"/>
        <rFont val="Arial Cyr"/>
        <family val="0"/>
      </rPr>
      <t>за  виллу</t>
    </r>
    <r>
      <rPr>
        <sz val="10"/>
        <color indexed="8"/>
        <rFont val="Arial Cyr"/>
        <family val="0"/>
      </rPr>
      <t>)</t>
    </r>
    <r>
      <rPr>
        <sz val="14"/>
        <color indexed="8"/>
        <rFont val="Arial Cyr"/>
        <family val="0"/>
      </rPr>
      <t>*</t>
    </r>
  </si>
  <si>
    <r>
      <t>MASTER SUITE TWO BEDROOM CONCIERGE FAMILY (</t>
    </r>
    <r>
      <rPr>
        <b/>
        <sz val="10"/>
        <color indexed="8"/>
        <rFont val="Arial Cyr"/>
        <family val="0"/>
      </rPr>
      <t>за номер</t>
    </r>
    <r>
      <rPr>
        <sz val="10"/>
        <color indexed="8"/>
        <rFont val="Arial Cyr"/>
        <family val="0"/>
      </rPr>
      <t>)</t>
    </r>
    <r>
      <rPr>
        <sz val="14"/>
        <color indexed="8"/>
        <rFont val="Arial Cyr"/>
        <family val="0"/>
      </rPr>
      <t>*</t>
    </r>
  </si>
  <si>
    <r>
      <t>MASTER SUITE ONE BEDROOM CONCIERGE FAMILY</t>
    </r>
    <r>
      <rPr>
        <sz val="14"/>
        <color indexed="8"/>
        <rFont val="Arial Cyr"/>
        <family val="0"/>
      </rPr>
      <t>*</t>
    </r>
  </si>
  <si>
    <t xml:space="preserve">Доплата  за одноместное проживание во всех категориях Royal Service + 91 доллар.   </t>
  </si>
  <si>
    <t>DBL CLASSIC PRIME OCEAN  VIEW</t>
  </si>
  <si>
    <t>SGL CLASSIC PRIME OCEAN  VIEW</t>
  </si>
  <si>
    <r>
      <t>JR SUITE DBL</t>
    </r>
    <r>
      <rPr>
        <sz val="11"/>
        <color indexed="8"/>
        <rFont val="Arial Cyr"/>
        <family val="0"/>
      </rPr>
      <t>*</t>
    </r>
  </si>
  <si>
    <r>
      <t>SUITE SGL</t>
    </r>
    <r>
      <rPr>
        <sz val="11"/>
        <color indexed="8"/>
        <rFont val="Arial Cyr"/>
        <family val="0"/>
      </rPr>
      <t>*</t>
    </r>
  </si>
  <si>
    <r>
      <t>SUITE DBL</t>
    </r>
    <r>
      <rPr>
        <sz val="11"/>
        <color indexed="8"/>
        <rFont val="Arial Cyr"/>
        <family val="0"/>
      </rPr>
      <t>*</t>
    </r>
  </si>
  <si>
    <r>
      <t>GRAND SUITE DBL OCEAN VIEW</t>
    </r>
    <r>
      <rPr>
        <sz val="11"/>
        <color indexed="8"/>
        <rFont val="Arial Cyr"/>
        <family val="0"/>
      </rPr>
      <t>*</t>
    </r>
  </si>
  <si>
    <r>
      <t>JR SUITE SGL</t>
    </r>
    <r>
      <rPr>
        <sz val="11"/>
        <color indexed="8"/>
        <rFont val="Arial Cyr"/>
        <family val="0"/>
      </rPr>
      <t>*</t>
    </r>
  </si>
  <si>
    <t>ПРИ БРОНИРОВАНИИ ОТЕЛЯ МИНИМУМ ЗА 30 ДНЕЙ ДО ЗАЕЗДА СКИДКА 10%  (для всех категорий, кроме помеченных *)</t>
  </si>
  <si>
    <t>EP</t>
  </si>
  <si>
    <t>01.05.18 - 15.07.18</t>
  </si>
  <si>
    <t>16.07.18 - 30.09.18</t>
  </si>
  <si>
    <t>PATIO SUITE DBL</t>
  </si>
  <si>
    <t>01.10.18 - 27.10.18</t>
  </si>
  <si>
    <t>JR SUITE  SARATOGA DBL</t>
  </si>
  <si>
    <t>JR SUITE  SARATOGA SGL</t>
  </si>
  <si>
    <t>01.05.18 - 14.05.18</t>
  </si>
  <si>
    <t>15.05.18 - 14.10.18</t>
  </si>
  <si>
    <t>01.05.18 - 31.10.18</t>
  </si>
  <si>
    <t xml:space="preserve">Спецпредложение  </t>
  </si>
  <si>
    <r>
      <t xml:space="preserve">Gaviota 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</si>
  <si>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Raquel 4 *</t>
  </si>
  <si>
    <t>SUITE  DBL (в отелях Armadores de Santander, Conde de Villanueva, Palacio de Marques de Prado Ameno)</t>
  </si>
  <si>
    <r>
      <t xml:space="preserve">Gaviota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</si>
  <si>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 xml:space="preserve">Gaviota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</si>
  <si>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ПРИ РАННЕМ БРОНИРОВАНИИ ОТЕЛЯ ДО 30.04 СКИДКА 15%  (оплата должна быть произведена до 15.05)</t>
  </si>
  <si>
    <t>DBL CLASSIC OCEAN VIEW</t>
  </si>
  <si>
    <t>SGL CLASSIC OCEAN VIEW</t>
  </si>
  <si>
    <t>DBL PREMIUM OCEAN VIEW</t>
  </si>
  <si>
    <t>SGL PREMIUM OCEAN VIEW</t>
  </si>
  <si>
    <t>DBL OCEAN VIEW THE LEVEL</t>
  </si>
  <si>
    <t>DBL SUITE  OCEAN VIEW THE LEVEL</t>
  </si>
  <si>
    <t xml:space="preserve">Доплата  за одноместное проживание в номерах The Level, Ocean View The Level, Suite Ocean View The Level + 72 долл   </t>
  </si>
  <si>
    <t xml:space="preserve">ПРИ БРОНИРОВАНИИ ОТЕЛЯ МИНИМУМ ЗА 30 ДНЕЙ ДО ЗАЕЗДА СКИДКА 12%  (ИСКЛЮЧАЯ номер Suite Ocean View The Level) </t>
  </si>
  <si>
    <t>DBL DELUXE</t>
  </si>
  <si>
    <t>SGL  DELUXE</t>
  </si>
  <si>
    <t>ПРИ БРОНИРОВАНИИ ОТЕЛЯ МИНИМУМ ЗА 30 ДНЕЙ ДО ЗАЕЗДА СКИДКА 10%  (для номеров Deluxe!)</t>
  </si>
  <si>
    <t>JR SUITE FAMILIAR</t>
  </si>
  <si>
    <t xml:space="preserve">В номере Bungalow Suite max 2 взр, в номерах Jr Suite, Suite и Bungalow 1 Bedroom разрешается max: 1 взр+3 реб, 2 взр+2 реб, 3 взр+1 реб (во всех номерах дополнительно ставится только одна допкровать). </t>
  </si>
  <si>
    <t xml:space="preserve">В номере Bungalow Familiar разрешается max размещение:  4 взр, 4 взр+1 реб. Минимум 3 взр. </t>
  </si>
  <si>
    <t>В номерах стандарт и superior разрешается размещение: 3 взр или 2 взр + 1 реб</t>
  </si>
  <si>
    <t xml:space="preserve">ПРИ БРОНИРОВАНИИ ОТЕЛЯ МИНИМУМ ЗА 30 ДНЕЙ ДО ЗАЕЗДА СКИДКА 10%  (для номеров Srandart, Superior и Bungalow 1 Bedroom) </t>
  </si>
  <si>
    <t xml:space="preserve">*cкидка раннего бронирования не даётся с доплаты за Sgl!  </t>
  </si>
  <si>
    <t xml:space="preserve">DBL CLASSIC MARINA VIEW </t>
  </si>
  <si>
    <t>SGL CLASSIC MARINA VIEW</t>
  </si>
  <si>
    <t>DBL MARINA VIEW THE LEVEL</t>
  </si>
  <si>
    <t>SGL MARINA VIEW THE LEVEL</t>
  </si>
  <si>
    <t>GRAND SUITE SGL THE LEVEL</t>
  </si>
  <si>
    <t>GRAND SUITE DBL MARINA VIEW THE LEVEL</t>
  </si>
  <si>
    <t>GRAND SUITE SGL MARINA VIEW THE LEVEL</t>
  </si>
  <si>
    <t>Размещение ребенка во всех  номерах  Apartment - 13 долларов в день</t>
  </si>
  <si>
    <t>Максимальное размещение в Studio - 2взр+1 реб, 1 Bedroom Apartment - 3 взр+ 1 реб, 2 Bedroom Apartment - 5 взр + 1 реб, 3 Bedroom Apartment - 7 взр + 1 реб.</t>
  </si>
  <si>
    <t>DBL PREMIUM</t>
  </si>
  <si>
    <t>ПРИ БРОНИРОВАНИИ ОТЕЛЯ МИНИМУМ ЗА 30 ДНЕЙ ДО ЗАЕЗДА СКИДКА 15%  (для номеров Standard и Premium)</t>
  </si>
  <si>
    <t>Допускается размещение в номерах Standard и Premium 3 взр или 2 взр+2 реб. В Jr Suite Familiar - max 6 чел (5 взр+1 реб).</t>
  </si>
  <si>
    <t>Superior  Concierge Service DBL (Дом космонавтов)</t>
  </si>
  <si>
    <t>Superior  Concierge Service SGL (Дом космонавтов)</t>
  </si>
  <si>
    <r>
      <t xml:space="preserve">FAMILIAR SUITE  </t>
    </r>
    <r>
      <rPr>
        <b/>
        <sz val="10"/>
        <rFont val="Arial Cyr"/>
        <family val="0"/>
      </rPr>
      <t xml:space="preserve">(цена за номер)  </t>
    </r>
  </si>
  <si>
    <t xml:space="preserve">Superior Consierge Service только для взрослых! Max 2 чел. </t>
  </si>
  <si>
    <t>В номере Suite Familiar допускается размещение max 6 человек (5 взр + 1 реб)</t>
  </si>
  <si>
    <t>В остальных категориях номеров разрешено размещение: 1 взр+3 реб, 2 взр+2 реб, 3 взр+1 реб</t>
  </si>
  <si>
    <t xml:space="preserve">ПРИ БРОНИРОВАНИИ ОТЕЛЯ МИНИМУМ ЗА 30 ДНЕЙ ДО ЗАЕЗДА СКИДКА 15%  (для номеров Srandart и Ocean View) </t>
  </si>
  <si>
    <t xml:space="preserve">В номере Junior Suite разрешено размещение 5 человек  (во всех номерах дополнительно ставится только одна допкровать). </t>
  </si>
  <si>
    <t>В номере DBL FAMILIAR разрешается размещение минимально: 2 взр+ 2 реб, 3 взр+ 1 реб // максимально 3 взр+ 3 реб, 2 взр+ 4 реб (расчёт стоимости под запрос)</t>
  </si>
  <si>
    <t>Во всех остальных категориях номеров разрешено размещение только одного ребёнка в номере с двумя взрослыми!</t>
  </si>
  <si>
    <t>DBL ELITE OCEAN  VIEW</t>
  </si>
  <si>
    <t>SGL ELITE OCEAN  VIEW</t>
  </si>
  <si>
    <t>SUITE DBL ELITE</t>
  </si>
  <si>
    <t>SUITE SGL ELITE</t>
  </si>
  <si>
    <t>FAMILIAR (первый-третий взр)</t>
  </si>
  <si>
    <t>первый реб. (от 2 до 12 лет)</t>
  </si>
  <si>
    <t>второй и третий реб. (от 2 до 12 лет)</t>
  </si>
  <si>
    <t xml:space="preserve">В номерах Стандарт и Стандарт Ocean View max 2 взр+1 реб; в номере Familiar min 2 взр+2 реб, 3 взр+1 реб, max 2 взр+3 реб; в номерах Jr Suite и Elite max 2 взр!  </t>
  </si>
  <si>
    <t xml:space="preserve">CHD+2 взр (от 2 до 12 лет)   </t>
  </si>
  <si>
    <t xml:space="preserve">CHD+2 взр (от 2 до 12 лет)  </t>
  </si>
  <si>
    <t>ПРИ РАННЕМ БРОНИРОВАНИИ ОТЕЛЯ ДО 31.03.18 СКИДКА 15% С ЧЕЛ В DBL (оплата должна быть произведена до 15.04) (исключая номер Familiar)</t>
  </si>
  <si>
    <t>ПРИ БРОНИРОВАНИИ ОТЕЛЯ МИНИМУМ ЗА 30 ДНЕЙ ДО ЗАЕЗДА СКИДКА 10%  (для номеров Standard, Superior Ocean View)</t>
  </si>
  <si>
    <t>Playa de Oro 4*</t>
  </si>
  <si>
    <t>CHD + 2 взр (от 2 до 14 лет)</t>
  </si>
  <si>
    <t>SunBeach</t>
  </si>
  <si>
    <r>
      <t xml:space="preserve">Перелет и трансферы Гавана-Кайо Ларго-Гавана  - </t>
    </r>
    <r>
      <rPr>
        <b/>
        <i/>
        <sz val="11"/>
        <color indexed="10"/>
        <rFont val="Arial Cyr"/>
        <family val="0"/>
      </rPr>
      <t xml:space="preserve">230 долл </t>
    </r>
    <r>
      <rPr>
        <i/>
        <sz val="11"/>
        <rFont val="Arial Cyr"/>
        <family val="2"/>
      </rPr>
      <t xml:space="preserve">                                                                                         </t>
    </r>
    <r>
      <rPr>
        <i/>
        <sz val="11"/>
        <color indexed="10"/>
        <rFont val="Arial Cyr"/>
        <family val="2"/>
      </rPr>
      <t xml:space="preserve">                 </t>
    </r>
    <r>
      <rPr>
        <i/>
        <sz val="11"/>
        <rFont val="Arial Cyr"/>
        <family val="2"/>
      </rPr>
      <t xml:space="preserve"> </t>
    </r>
  </si>
  <si>
    <r>
      <t xml:space="preserve">Перелет и трансферы Гавана-Кайо Ларго-Варадеро  - </t>
    </r>
    <r>
      <rPr>
        <b/>
        <i/>
        <sz val="11"/>
        <color indexed="10"/>
        <rFont val="Arial Cyr"/>
        <family val="0"/>
      </rPr>
      <t>230 долл</t>
    </r>
    <r>
      <rPr>
        <b/>
        <i/>
        <sz val="11"/>
        <rFont val="Arial Cyr"/>
        <family val="0"/>
      </rPr>
      <t xml:space="preserve">, Варадеро-Кайо Ларго-Варадеро  - </t>
    </r>
    <r>
      <rPr>
        <b/>
        <i/>
        <sz val="11"/>
        <color indexed="10"/>
        <rFont val="Arial Cyr"/>
        <family val="0"/>
      </rPr>
      <t xml:space="preserve">230 долл </t>
    </r>
    <r>
      <rPr>
        <i/>
        <sz val="11"/>
        <rFont val="Arial Cyr"/>
        <family val="2"/>
      </rPr>
      <t xml:space="preserve">                                                                                         </t>
    </r>
    <r>
      <rPr>
        <i/>
        <sz val="11"/>
        <color indexed="10"/>
        <rFont val="Arial Cyr"/>
        <family val="2"/>
      </rPr>
      <t xml:space="preserve">                 </t>
    </r>
    <r>
      <rPr>
        <i/>
        <sz val="11"/>
        <rFont val="Arial Cyr"/>
        <family val="2"/>
      </rPr>
      <t xml:space="preserve"> </t>
    </r>
  </si>
  <si>
    <r>
      <t xml:space="preserve">Перелет и трансферы Гавана - 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93 </t>
    </r>
    <r>
      <rPr>
        <b/>
        <i/>
        <sz val="11"/>
        <color indexed="10"/>
        <rFont val="Arial Cyr"/>
        <family val="0"/>
      </rPr>
      <t>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</si>
  <si>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Перелет Ольгин-Кайо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74 долл </t>
    </r>
    <r>
      <rPr>
        <b/>
        <i/>
        <sz val="11"/>
        <rFont val="Arial Cyr"/>
        <family val="0"/>
      </rPr>
      <t xml:space="preserve"> </t>
    </r>
  </si>
  <si>
    <r>
      <t xml:space="preserve">Перелет и трансферы Гавана - 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>93 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</si>
  <si>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Перелет Ольгин-Кайо Коко и трансферы групповые от отеля до отеля на Кайо Гильермо OW - </t>
    </r>
    <r>
      <rPr>
        <b/>
        <i/>
        <sz val="11"/>
        <color indexed="10"/>
        <rFont val="Arial Cyr"/>
        <family val="0"/>
      </rPr>
      <t xml:space="preserve">74 долл </t>
    </r>
  </si>
  <si>
    <r>
      <t xml:space="preserve">Перелет Гавана-Ольгин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145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   </t>
    </r>
  </si>
  <si>
    <r>
      <t xml:space="preserve">Перелет Ольгин-Кайо Коко и трансферы групповые от отеля до отеля на Кайо Коко или Кайо Гильермо OW - </t>
    </r>
    <r>
      <rPr>
        <b/>
        <i/>
        <sz val="11"/>
        <color indexed="10"/>
        <rFont val="Arial Cyr"/>
        <family val="0"/>
      </rPr>
      <t xml:space="preserve">74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</t>
    </r>
  </si>
  <si>
    <r>
      <t>Трансфер аэропорт Гавана - Пляж Санта Мария</t>
    </r>
    <r>
      <rPr>
        <b/>
        <i/>
        <sz val="11"/>
        <rFont val="Arial Cyr"/>
        <family val="0"/>
      </rPr>
      <t xml:space="preserve"> такси (1-2 чел.) - </t>
    </r>
    <r>
      <rPr>
        <b/>
        <i/>
        <sz val="11"/>
        <color indexed="10"/>
        <rFont val="Arial Cyr"/>
        <family val="0"/>
      </rPr>
      <t>4</t>
    </r>
    <r>
      <rPr>
        <b/>
        <i/>
        <sz val="11"/>
        <color indexed="10"/>
        <rFont val="Arial Cyr"/>
        <family val="0"/>
      </rPr>
      <t>0 долл</t>
    </r>
    <r>
      <rPr>
        <b/>
        <i/>
        <sz val="11"/>
        <rFont val="Arial Cyr"/>
        <family val="0"/>
      </rPr>
      <t xml:space="preserve">, минивен (3-5 чел) </t>
    </r>
    <r>
      <rPr>
        <b/>
        <i/>
        <sz val="11"/>
        <color indexed="10"/>
        <rFont val="Arial Cyr"/>
        <family val="0"/>
      </rPr>
      <t xml:space="preserve">55 долл, </t>
    </r>
    <r>
      <rPr>
        <b/>
        <i/>
        <sz val="11"/>
        <rFont val="Arial Cyr"/>
        <family val="0"/>
      </rPr>
      <t>минибас (6-8 чел)</t>
    </r>
    <r>
      <rPr>
        <b/>
        <i/>
        <sz val="11"/>
        <color indexed="10"/>
        <rFont val="Arial Cyr"/>
        <family val="0"/>
      </rPr>
      <t xml:space="preserve"> 80 долл     </t>
    </r>
    <r>
      <rPr>
        <b/>
        <i/>
        <sz val="11"/>
        <rFont val="Arial Cyr"/>
        <family val="0"/>
      </rPr>
      <t xml:space="preserve">  </t>
    </r>
  </si>
  <si>
    <r>
      <t xml:space="preserve">Трансфер аэропорт Гавана - Хибакоа </t>
    </r>
    <r>
      <rPr>
        <b/>
        <i/>
        <sz val="11"/>
        <rFont val="Arial Cyr"/>
        <family val="0"/>
      </rPr>
      <t xml:space="preserve">такси (1-2 чел.) - </t>
    </r>
    <r>
      <rPr>
        <b/>
        <i/>
        <sz val="11"/>
        <color indexed="10"/>
        <rFont val="Arial Cyr"/>
        <family val="0"/>
      </rPr>
      <t>65 долл</t>
    </r>
    <r>
      <rPr>
        <b/>
        <i/>
        <sz val="11"/>
        <rFont val="Arial Cyr"/>
        <family val="0"/>
      </rPr>
      <t>, минивен (3-5 чел)</t>
    </r>
    <r>
      <rPr>
        <b/>
        <i/>
        <sz val="11"/>
        <color indexed="10"/>
        <rFont val="Arial Cyr"/>
        <family val="0"/>
      </rPr>
      <t xml:space="preserve"> 90 долл, </t>
    </r>
    <r>
      <rPr>
        <b/>
        <i/>
        <sz val="11"/>
        <rFont val="Arial Cyr"/>
        <family val="0"/>
      </rPr>
      <t xml:space="preserve">минибас (6-8 чел) </t>
    </r>
    <r>
      <rPr>
        <b/>
        <i/>
        <sz val="11"/>
        <color indexed="10"/>
        <rFont val="Arial Cyr"/>
        <family val="0"/>
      </rPr>
      <t xml:space="preserve">120 долл     </t>
    </r>
    <r>
      <rPr>
        <b/>
        <i/>
        <sz val="11"/>
        <rFont val="Arial Cyr"/>
        <family val="0"/>
      </rPr>
      <t xml:space="preserve"> </t>
    </r>
  </si>
  <si>
    <t>01.06.18 - 14.07.18</t>
  </si>
  <si>
    <t xml:space="preserve">Доплата за ужин +26 долл с чел </t>
  </si>
  <si>
    <t xml:space="preserve">Доплата за ужин +19 долл с чел </t>
  </si>
  <si>
    <t xml:space="preserve">01.05.18 - 31.10.18 </t>
  </si>
  <si>
    <t>Доплата за ужин +16 долл с чел. Доплата за вид на море 13 долл за номер за сутки, за Superior Room - 26 долл за номер в сутки</t>
  </si>
  <si>
    <t>Доплата за ужин +32 долл с чел.  Доплата за Ocean View 26 долл за номер за ночь, за Executive Floor 64 долл за номер за ночь</t>
  </si>
  <si>
    <t>Доплата за ужин +16 долл с чел. Доплата за Superior Room - 26 долл за номер в сутки</t>
  </si>
  <si>
    <t>Neptuno - Triton</t>
  </si>
  <si>
    <t>Доплата за ужин +13 долл с чел. Доплата за вид на море 13 долл за номер за сутки</t>
  </si>
  <si>
    <r>
      <t xml:space="preserve">Стоимость дана за виллу в день без питания. </t>
    </r>
    <r>
      <rPr>
        <b/>
        <i/>
        <sz val="11"/>
        <color indexed="10"/>
        <rFont val="Arial Cyr"/>
        <family val="0"/>
      </rPr>
      <t>Доплата за завтрак - 8 $ с человека, ужин - 18 $ с человека.</t>
    </r>
  </si>
  <si>
    <t xml:space="preserve">15.07.18 - 24.08.18 </t>
  </si>
  <si>
    <t xml:space="preserve">25.08.18 - 31.10.18 </t>
  </si>
  <si>
    <t>CHD + 2 взр  (от 2 до 14 лет)</t>
  </si>
  <si>
    <t>Доплата за вид на море 13 долл за номер за сутки</t>
  </si>
  <si>
    <t>Villa Tropico</t>
  </si>
  <si>
    <r>
      <t xml:space="preserve">Трансфер аэропорт Гаваны или отель Гаваны - отель на Варадеро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Renault Dynamique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VW Passat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- 206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</si>
  <si>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Гаваны или отель Гаваны - отель на острове Санта Мария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Renault Dynamique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VW Passat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- 465 долл</t>
    </r>
    <r>
      <rPr>
        <i/>
        <sz val="11"/>
        <rFont val="Arial Cyr"/>
        <family val="2"/>
      </rPr>
      <t xml:space="preserve"> (1-3 чел.) 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</si>
  <si>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>Audi A6</t>
    </r>
    <r>
      <rPr>
        <i/>
        <sz val="11"/>
        <color indexed="10"/>
        <rFont val="Arial Cyr"/>
        <family val="2"/>
      </rPr>
      <t xml:space="preserve">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>BMW 523I</t>
    </r>
    <r>
      <rPr>
        <i/>
        <sz val="11"/>
        <color indexed="10"/>
        <rFont val="Arial Cyr"/>
        <family val="2"/>
      </rPr>
      <t xml:space="preserve"> - 97 долл</t>
    </r>
    <r>
      <rPr>
        <i/>
        <sz val="11"/>
        <rFont val="Arial Cyr"/>
        <family val="2"/>
      </rPr>
      <t xml:space="preserve"> (1-3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</si>
  <si>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>Audi A6</t>
    </r>
    <r>
      <rPr>
        <i/>
        <sz val="11"/>
        <color indexed="10"/>
        <rFont val="Arial Cyr"/>
        <family val="2"/>
      </rPr>
      <t xml:space="preserve">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>BMW 523I</t>
    </r>
    <r>
      <rPr>
        <i/>
        <sz val="11"/>
        <color indexed="10"/>
        <rFont val="Arial Cyr"/>
        <family val="2"/>
      </rPr>
      <t xml:space="preserve"> - 97 долл</t>
    </r>
    <r>
      <rPr>
        <i/>
        <sz val="11"/>
        <rFont val="Arial Cyr"/>
        <family val="2"/>
      </rPr>
      <t xml:space="preserve"> (1-3 чел.) </t>
    </r>
  </si>
  <si>
    <r>
      <t>Трансфер аэропорт Гаваны или отель Гаваны - отель на Варадеро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 xml:space="preserve">Audi A6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BMW 523I</t>
    </r>
    <r>
      <rPr>
        <i/>
        <sz val="11"/>
        <color indexed="10"/>
        <rFont val="Arial Cyr"/>
        <family val="2"/>
      </rPr>
      <t xml:space="preserve"> - 235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</si>
  <si>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Гаваны или отель Гаваны - отель на острове Санта Мария </t>
    </r>
    <r>
      <rPr>
        <b/>
        <sz val="11"/>
        <color indexed="12"/>
        <rFont val="Arial Cyr"/>
        <family val="0"/>
      </rPr>
      <t xml:space="preserve">Audi A6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BMW 523I</t>
    </r>
    <r>
      <rPr>
        <i/>
        <sz val="11"/>
        <color indexed="10"/>
        <rFont val="Arial Cyr"/>
        <family val="2"/>
      </rPr>
      <t xml:space="preserve"> - 480 долл</t>
    </r>
    <r>
      <rPr>
        <i/>
        <sz val="11"/>
        <rFont val="Arial Cyr"/>
        <family val="2"/>
      </rPr>
      <t xml:space="preserve"> (1-3 чел.) </t>
    </r>
  </si>
  <si>
    <r>
      <t xml:space="preserve">Трансферы премиум класса минивэн - VW Transporter T5 </t>
    </r>
    <r>
      <rPr>
        <sz val="12"/>
        <rFont val="Arial Cyr"/>
        <family val="0"/>
      </rPr>
      <t>или</t>
    </r>
    <r>
      <rPr>
        <b/>
        <sz val="12"/>
        <color indexed="12"/>
        <rFont val="Arial Cyr"/>
        <family val="0"/>
      </rPr>
      <t xml:space="preserve"> Hyundai H1TQ</t>
    </r>
    <r>
      <rPr>
        <b/>
        <sz val="12"/>
        <color indexed="12"/>
        <rFont val="Arial Cyr"/>
        <family val="0"/>
      </rPr>
      <t>: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</si>
  <si>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- 140 долл</t>
    </r>
    <r>
      <rPr>
        <i/>
        <sz val="11"/>
        <rFont val="Arial Cyr"/>
        <family val="2"/>
      </rPr>
      <t xml:space="preserve"> (3-5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</si>
  <si>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- 125 долл</t>
    </r>
    <r>
      <rPr>
        <i/>
        <sz val="11"/>
        <rFont val="Arial Cyr"/>
        <family val="2"/>
      </rPr>
      <t xml:space="preserve"> (3-5 чел.) </t>
    </r>
  </si>
  <si>
    <r>
      <t xml:space="preserve">Трансфер аэропорт Гаваны или отель Гаваны - отель на Варадеро </t>
    </r>
    <r>
      <rPr>
        <i/>
        <sz val="11"/>
        <color indexed="10"/>
        <rFont val="Arial Cyr"/>
        <family val="2"/>
      </rPr>
      <t xml:space="preserve">- 260 долл </t>
    </r>
    <r>
      <rPr>
        <i/>
        <sz val="11"/>
        <rFont val="Arial Cyr"/>
        <family val="2"/>
      </rPr>
      <t xml:space="preserve">(3-5 чел.) </t>
    </r>
  </si>
  <si>
    <r>
      <t xml:space="preserve">Трансфер аэропорт Гаваны или отель Гаваны - отель на острове Санта Мария  </t>
    </r>
    <r>
      <rPr>
        <i/>
        <sz val="11"/>
        <color indexed="10"/>
        <rFont val="Arial Cyr"/>
        <family val="2"/>
      </rPr>
      <t xml:space="preserve">- 500 долл </t>
    </r>
    <r>
      <rPr>
        <i/>
        <sz val="11"/>
        <rFont val="Arial Cyr"/>
        <family val="2"/>
      </rPr>
      <t xml:space="preserve">(3-5 чел.) </t>
    </r>
  </si>
  <si>
    <r>
      <t xml:space="preserve">Трансферы премиум класса минивэн - </t>
    </r>
    <r>
      <rPr>
        <b/>
        <sz val="12"/>
        <color indexed="12"/>
        <rFont val="Arial Cyr"/>
        <family val="0"/>
      </rPr>
      <t>Hyundai H1 Starex: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</si>
  <si>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- 151 долл</t>
    </r>
    <r>
      <rPr>
        <i/>
        <sz val="11"/>
        <rFont val="Arial Cyr"/>
        <family val="2"/>
      </rPr>
      <t xml:space="preserve"> (3-5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</si>
  <si>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- 151 долл</t>
    </r>
    <r>
      <rPr>
        <i/>
        <sz val="11"/>
        <rFont val="Arial Cyr"/>
        <family val="2"/>
      </rPr>
      <t xml:space="preserve"> (3-5 чел.) </t>
    </r>
  </si>
  <si>
    <r>
      <t xml:space="preserve">Трансфер аэропорт Гаваны или отель Гаваны - отель на Варадеро </t>
    </r>
    <r>
      <rPr>
        <i/>
        <sz val="11"/>
        <color indexed="10"/>
        <rFont val="Arial Cyr"/>
        <family val="2"/>
      </rPr>
      <t xml:space="preserve">- 300 долл </t>
    </r>
    <r>
      <rPr>
        <i/>
        <sz val="11"/>
        <rFont val="Arial Cyr"/>
        <family val="2"/>
      </rPr>
      <t xml:space="preserve">(3-5 чел.) </t>
    </r>
  </si>
  <si>
    <r>
      <t xml:space="preserve">Трансфер аэропорт Гаваны или отель Гаваны - отель на острове Санта Мария  </t>
    </r>
    <r>
      <rPr>
        <i/>
        <sz val="11"/>
        <color indexed="10"/>
        <rFont val="Arial Cyr"/>
        <family val="2"/>
      </rPr>
      <t xml:space="preserve">- 520 долл </t>
    </r>
    <r>
      <rPr>
        <i/>
        <sz val="11"/>
        <rFont val="Arial Cyr"/>
        <family val="2"/>
      </rPr>
      <t xml:space="preserve">(3-5 чел.) </t>
    </r>
  </si>
  <si>
    <t>Цены включают 10% комиссии турагентствам от стоимости отелей и трансферов.  Внутренний перелёт, турсбор и страховка некомиссионные.</t>
  </si>
  <si>
    <t>Occidental Arenas Blancas</t>
  </si>
  <si>
    <r>
      <t xml:space="preserve">Barcelo                                     </t>
    </r>
    <r>
      <rPr>
        <b/>
        <sz val="11"/>
        <color indexed="12"/>
        <rFont val="Arial Cyr"/>
        <family val="0"/>
      </rPr>
      <t>В ДОЛЛАРАХ</t>
    </r>
  </si>
  <si>
    <t>Max размещение в номерах Superior и Superior Ocean View 3 взр, 2 взр+1 реб; в номере Suite 2 взр, 2 взр+1 реб</t>
  </si>
  <si>
    <t>Max размещение в номерах Bungalow 2 взр+1 реб, Bungalow Superior 3 взр; в номере Bungalow Suite 3 взр, 2 взр+2 реб</t>
  </si>
  <si>
    <t>Max размещение в номерах Superior и Superior Ocean View 3 взр+1 реб, 2 взр+2 реб; в номере Suite 2 взр, 2 взр+1 реб</t>
  </si>
  <si>
    <t xml:space="preserve">Mithu                            </t>
  </si>
  <si>
    <t>Marina Varadero</t>
  </si>
  <si>
    <t xml:space="preserve">(ex Blau Marina Varadero) </t>
  </si>
  <si>
    <r>
      <t>Posada</t>
    </r>
    <r>
      <rPr>
        <b/>
        <sz val="11"/>
        <color indexed="48"/>
        <rFont val="Arial Cyr"/>
        <family val="0"/>
      </rPr>
      <t xml:space="preserve">                                    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>В ДОЛЛАРАХ</t>
    </r>
  </si>
  <si>
    <t xml:space="preserve">(ex Blau Privilege Cayo Libertad) </t>
  </si>
  <si>
    <t>Cayo Libertad</t>
  </si>
  <si>
    <t>26.08.18 - 31.10.18</t>
  </si>
  <si>
    <t>15.07.18 - 25.08.18</t>
  </si>
  <si>
    <r>
      <t xml:space="preserve">Отель только для взрослых от 16 лет! </t>
    </r>
    <r>
      <rPr>
        <i/>
        <sz val="11"/>
        <rFont val="Arial Cyr"/>
        <family val="0"/>
      </rPr>
      <t>Размещение 3-го взрослого в номере не допускается</t>
    </r>
  </si>
  <si>
    <t>(бунгало, вторая линия пляжа, завтраки)</t>
  </si>
  <si>
    <t>Максимальное размещение 2 взр + 2 реб</t>
  </si>
  <si>
    <t xml:space="preserve">Доплата за ужин +28 долл с чел.  Доплата за Dbl Executive - 26 долл с чел в сутки, Sgl Executive - 38 долл в сутки. </t>
  </si>
  <si>
    <t xml:space="preserve">Доплата за номера Deluxe Executive, Jr Suite Executive, Master Suite Executive по запросу </t>
  </si>
  <si>
    <t xml:space="preserve">Cubanacan                        </t>
  </si>
  <si>
    <t>Comodoro  Bungalow Pleamar</t>
  </si>
  <si>
    <t>1 Bedroom DBL</t>
  </si>
  <si>
    <t>1 Bedroom SGL</t>
  </si>
  <si>
    <t xml:space="preserve">Доплата за ужин +26 долл с чел.  </t>
  </si>
  <si>
    <t xml:space="preserve">2 Bedroom  </t>
  </si>
  <si>
    <t xml:space="preserve">Доплата за ужин +16 долл с чел. </t>
  </si>
  <si>
    <r>
      <t xml:space="preserve">Be Live                             </t>
    </r>
    <r>
      <rPr>
        <b/>
        <i/>
        <sz val="11"/>
        <color indexed="48"/>
        <rFont val="Arial Cyr"/>
        <family val="0"/>
      </rPr>
      <t>В   ДОЛЛАРАХ</t>
    </r>
  </si>
  <si>
    <t>Acuario</t>
  </si>
  <si>
    <t>(в Марина Хэмингуей)</t>
  </si>
  <si>
    <t>AI!!!</t>
  </si>
  <si>
    <r>
      <t>Трансферы групповые аэропорт Гаваны - отели Гаваны</t>
    </r>
    <r>
      <rPr>
        <i/>
        <sz val="11"/>
        <color indexed="10"/>
        <rFont val="Arial Cyr"/>
        <family val="2"/>
      </rPr>
      <t xml:space="preserve"> - 10 долл</t>
    </r>
    <r>
      <rPr>
        <i/>
        <sz val="11"/>
        <rFont val="Arial Cyr"/>
        <family val="2"/>
      </rPr>
      <t xml:space="preserve"> // такси (1-2 чел) </t>
    </r>
    <r>
      <rPr>
        <i/>
        <sz val="11"/>
        <rFont val="Arial Cyr"/>
        <family val="0"/>
      </rPr>
      <t>-</t>
    </r>
    <r>
      <rPr>
        <i/>
        <sz val="11"/>
        <color indexed="10"/>
        <rFont val="Arial Cyr"/>
        <family val="2"/>
      </rPr>
      <t xml:space="preserve"> 30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77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85 долл  </t>
    </r>
  </si>
  <si>
    <r>
      <t xml:space="preserve">Трансферы групповые аэропорт Гаваны - отели Варадеро </t>
    </r>
    <r>
      <rPr>
        <i/>
        <sz val="11"/>
        <color indexed="10"/>
        <rFont val="Arial Cyr"/>
        <family val="2"/>
      </rPr>
      <t xml:space="preserve">- 25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 xml:space="preserve">- 120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255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280 долл  </t>
    </r>
  </si>
  <si>
    <r>
      <t xml:space="preserve">Трансферы групповые отели Варадеро - аэропорт Гаваны </t>
    </r>
    <r>
      <rPr>
        <i/>
        <sz val="11"/>
        <color indexed="10"/>
        <rFont val="Arial Cyr"/>
        <family val="2"/>
      </rPr>
      <t xml:space="preserve">- 25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 xml:space="preserve">- 135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260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285 долл  </t>
    </r>
  </si>
  <si>
    <r>
      <t xml:space="preserve">Трансферы групповые отели Гаваны - отели Варадеро </t>
    </r>
    <r>
      <rPr>
        <i/>
        <sz val="11"/>
        <color indexed="10"/>
        <rFont val="Arial Cyr"/>
        <family val="2"/>
      </rPr>
      <t xml:space="preserve">- 20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>- 135 долл</t>
    </r>
    <r>
      <rPr>
        <i/>
        <sz val="11"/>
        <rFont val="Arial Cyr"/>
        <family val="0"/>
      </rPr>
      <t xml:space="preserve"> // минивен (3-4 чел) - </t>
    </r>
    <r>
      <rPr>
        <i/>
        <sz val="11"/>
        <color indexed="10"/>
        <rFont val="Arial Cyr"/>
        <family val="0"/>
      </rPr>
      <t xml:space="preserve">235 долл </t>
    </r>
    <r>
      <rPr>
        <i/>
        <sz val="11"/>
        <rFont val="Arial Cyr"/>
        <family val="0"/>
      </rPr>
      <t xml:space="preserve">// минибас (5-8 чел) -  </t>
    </r>
    <r>
      <rPr>
        <i/>
        <sz val="11"/>
        <color indexed="10"/>
        <rFont val="Arial Cyr"/>
        <family val="0"/>
      </rPr>
      <t xml:space="preserve">260 долл  </t>
    </r>
  </si>
  <si>
    <r>
      <t xml:space="preserve">Трансферы  групповые аэропорт Варадеро - отели Варадеро </t>
    </r>
    <r>
      <rPr>
        <i/>
        <sz val="11"/>
        <color indexed="10"/>
        <rFont val="Arial Cyr"/>
        <family val="0"/>
      </rPr>
      <t>- 10 долл</t>
    </r>
    <r>
      <rPr>
        <i/>
        <sz val="11"/>
        <rFont val="Arial Cyr"/>
        <family val="2"/>
      </rPr>
      <t xml:space="preserve"> // такси (1-2 чел) </t>
    </r>
    <r>
      <rPr>
        <i/>
        <sz val="11"/>
        <color indexed="10"/>
        <rFont val="Arial Cyr"/>
        <family val="2"/>
      </rPr>
      <t>- 40 долл</t>
    </r>
    <r>
      <rPr>
        <i/>
        <sz val="11"/>
        <rFont val="Arial Cyr"/>
        <family val="0"/>
      </rPr>
      <t xml:space="preserve"> // минивен (3-4 чел) - </t>
    </r>
    <r>
      <rPr>
        <i/>
        <sz val="11"/>
        <color indexed="10"/>
        <rFont val="Arial Cyr"/>
        <family val="0"/>
      </rPr>
      <t>78 долл</t>
    </r>
    <r>
      <rPr>
        <i/>
        <sz val="11"/>
        <rFont val="Arial Cyr"/>
        <family val="0"/>
      </rPr>
      <t xml:space="preserve"> // минибас (6-8 чел) - </t>
    </r>
    <r>
      <rPr>
        <i/>
        <sz val="11"/>
        <color indexed="10"/>
        <rFont val="Arial Cyr"/>
        <family val="0"/>
      </rPr>
      <t xml:space="preserve">85 долл   </t>
    </r>
  </si>
  <si>
    <r>
      <t xml:space="preserve">Трансферы а/п Сантьяго - отели Сантьяго (в городе) - такси (1-2 чел) </t>
    </r>
    <r>
      <rPr>
        <b/>
        <i/>
        <sz val="11"/>
        <color indexed="10"/>
        <rFont val="Arial Cyr"/>
        <family val="0"/>
      </rPr>
      <t>30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78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85 долл </t>
    </r>
  </si>
  <si>
    <r>
      <t xml:space="preserve">Трансферы а/п Ольгина - отель на пляже - такси (1-2 чел) </t>
    </r>
    <r>
      <rPr>
        <b/>
        <i/>
        <sz val="11"/>
        <color indexed="10"/>
        <rFont val="Arial Cyr"/>
        <family val="0"/>
      </rPr>
      <t>55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102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112 долл </t>
    </r>
  </si>
  <si>
    <r>
      <t xml:space="preserve">Трансфер аэропорт или отель в Гаване - отель на Кайо Гильермо OW - такси (1-2 чел) </t>
    </r>
    <r>
      <rPr>
        <b/>
        <i/>
        <sz val="11"/>
        <color indexed="10"/>
        <rFont val="Arial Cyr"/>
        <family val="0"/>
      </rPr>
      <t>420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653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728 долл </t>
    </r>
  </si>
  <si>
    <r>
      <t xml:space="preserve">Трансфер отель на Кайо Гильермо - отель на Варадеро OW - такси (1-2 чел) </t>
    </r>
    <r>
      <rPr>
        <b/>
        <i/>
        <sz val="11"/>
        <color indexed="10"/>
        <rFont val="Arial Cyr"/>
        <family val="0"/>
      </rPr>
      <t>360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588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655 долл </t>
    </r>
  </si>
  <si>
    <r>
      <t xml:space="preserve">Трансфер аэропорт или отель в Гаване - отель на Кайо Коко OW - такси (1-2 чел) </t>
    </r>
    <r>
      <rPr>
        <b/>
        <i/>
        <sz val="11"/>
        <color indexed="10"/>
        <rFont val="Arial Cyr"/>
        <family val="0"/>
      </rPr>
      <t>403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615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685 долл </t>
    </r>
  </si>
  <si>
    <r>
      <t xml:space="preserve">Трансфер отель на Кайо Коко - отель на Варадеро OW - такси (1-2 чел) </t>
    </r>
    <r>
      <rPr>
        <b/>
        <i/>
        <sz val="11"/>
        <color indexed="10"/>
        <rFont val="Arial Cyr"/>
        <family val="0"/>
      </rPr>
      <t>338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545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608 долл </t>
    </r>
  </si>
  <si>
    <r>
      <t xml:space="preserve">Трансфер аэропорт или отель в Гаване - отель на Кайо Санта Мария OW - такси (1-2 чел) </t>
    </r>
    <r>
      <rPr>
        <b/>
        <i/>
        <sz val="11"/>
        <color indexed="10"/>
        <rFont val="Arial Cyr"/>
        <family val="0"/>
      </rPr>
      <t>292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458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510 долл</t>
    </r>
  </si>
  <si>
    <r>
      <t xml:space="preserve">Трансфер отель на Кайо Санта Мария - отель на Варадеро OW - такси (1-2 чел) </t>
    </r>
    <r>
      <rPr>
        <b/>
        <i/>
        <sz val="11"/>
        <color indexed="10"/>
        <rFont val="Arial Cyr"/>
        <family val="0"/>
      </rPr>
      <t>250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393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435 долл</t>
    </r>
  </si>
  <si>
    <r>
      <t xml:space="preserve">Трансфер аэропорт или отель в Гаване - отель на Кайо Энсеначос OW - такси (1-2 чел) </t>
    </r>
    <r>
      <rPr>
        <b/>
        <i/>
        <sz val="11"/>
        <color indexed="10"/>
        <rFont val="Arial Cyr"/>
        <family val="0"/>
      </rPr>
      <t>292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458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510 долл</t>
    </r>
  </si>
  <si>
    <r>
      <t xml:space="preserve">Трансфер отель на Кайо Энсеначос - отель на Варадеро OW - такси (1-2 чел) </t>
    </r>
    <r>
      <rPr>
        <b/>
        <i/>
        <sz val="11"/>
        <color indexed="10"/>
        <rFont val="Arial Cyr"/>
        <family val="0"/>
      </rPr>
      <t>250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393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435 долл</t>
    </r>
  </si>
  <si>
    <r>
      <t xml:space="preserve">Трансферы отель в Сьенфуэгосe - отель на Варадеро (OW)  - такси (1-2 чел) </t>
    </r>
    <r>
      <rPr>
        <b/>
        <i/>
        <sz val="11"/>
        <color indexed="10"/>
        <rFont val="Arial Cyr"/>
        <family val="0"/>
      </rPr>
      <t>143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255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280 долл</t>
    </r>
    <r>
      <rPr>
        <b/>
        <i/>
        <sz val="11"/>
        <rFont val="Arial Cyr"/>
        <family val="0"/>
      </rPr>
      <t xml:space="preserve"> </t>
    </r>
  </si>
  <si>
    <r>
      <t xml:space="preserve">Трансферы отель в Сьенфуэгосe - отель в Тринидаде (OW) - такси (1-2 чел) </t>
    </r>
    <r>
      <rPr>
        <b/>
        <i/>
        <sz val="11"/>
        <color indexed="10"/>
        <rFont val="Arial Cyr"/>
        <family val="0"/>
      </rPr>
      <t>72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121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135 долл</t>
    </r>
  </si>
  <si>
    <r>
      <t xml:space="preserve">Трансферы отель в Сьенфуэгосe - отель на острове Санта Мария (OW) такси (1-2 чел) </t>
    </r>
    <r>
      <rPr>
        <b/>
        <i/>
        <sz val="11"/>
        <color indexed="10"/>
        <rFont val="Arial Cyr"/>
        <family val="0"/>
      </rPr>
      <t>135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280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303 долл</t>
    </r>
  </si>
  <si>
    <r>
      <t xml:space="preserve">Трансферы отель в Тринидаде - отель на Варадеро (OW) - такси (1-2 чел) </t>
    </r>
    <r>
      <rPr>
        <b/>
        <i/>
        <sz val="11"/>
        <color indexed="10"/>
        <rFont val="Arial Cyr"/>
        <family val="0"/>
      </rPr>
      <t>218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371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411 долл </t>
    </r>
  </si>
  <si>
    <r>
      <t xml:space="preserve">Трансферы отель в Тринидаде - отель в Сьенфуэгосe (OW) - такси (1-2 чел) </t>
    </r>
    <r>
      <rPr>
        <b/>
        <i/>
        <sz val="11"/>
        <color indexed="10"/>
        <rFont val="Arial Cyr"/>
        <family val="0"/>
      </rPr>
      <t>75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121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135 долл </t>
    </r>
  </si>
  <si>
    <r>
      <t xml:space="preserve">Трансферы отель в Тринидаде - аэропорт в Гаване (OW) - такси (1-2 чел) </t>
    </r>
    <r>
      <rPr>
        <b/>
        <i/>
        <sz val="11"/>
        <color indexed="10"/>
        <rFont val="Arial Cyr"/>
        <family val="0"/>
      </rPr>
      <t>270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441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490 долл </t>
    </r>
  </si>
  <si>
    <r>
      <t xml:space="preserve">Трансферы отель в Тринидаде - отель на острове Кайо Коко (OW) такси (1-2 чел) </t>
    </r>
    <r>
      <rPr>
        <b/>
        <i/>
        <sz val="11"/>
        <color indexed="10"/>
        <rFont val="Arial Cyr"/>
        <family val="0"/>
      </rPr>
      <t>192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317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351 долл </t>
    </r>
  </si>
  <si>
    <t>Los Cactus</t>
  </si>
  <si>
    <t>(ex Breezes Varadero)</t>
  </si>
  <si>
    <t>CHD + 2 взр (до 14 лет) (в номере Suite Garden View)</t>
  </si>
  <si>
    <t>SUITE DBL POOL VIEW</t>
  </si>
  <si>
    <t>SUITE SGL POOL VIEW</t>
  </si>
  <si>
    <t>CHD + 2 взр (до 14 лет) (в номере Suite Pool View)</t>
  </si>
  <si>
    <t>Bella Costa</t>
  </si>
  <si>
    <t xml:space="preserve">CHD + 2 взр (до 12 лет)  </t>
  </si>
  <si>
    <t>EXTRA BED (в Bungalow)</t>
  </si>
  <si>
    <r>
      <t xml:space="preserve">DBL cabaña (домик), </t>
    </r>
    <r>
      <rPr>
        <b/>
        <sz val="10"/>
        <rFont val="Arial Cyr"/>
        <family val="0"/>
      </rPr>
      <t>HB</t>
    </r>
  </si>
  <si>
    <r>
      <t xml:space="preserve">SGL cabaña (домик), </t>
    </r>
    <r>
      <rPr>
        <b/>
        <sz val="10"/>
        <rFont val="Arial Cyr"/>
        <family val="0"/>
      </rPr>
      <t>HB</t>
    </r>
  </si>
  <si>
    <r>
      <t xml:space="preserve">EXTRA BED, </t>
    </r>
    <r>
      <rPr>
        <b/>
        <sz val="10"/>
        <rFont val="Arial Cyr"/>
        <family val="0"/>
      </rPr>
      <t>HB</t>
    </r>
  </si>
  <si>
    <r>
      <t xml:space="preserve">JR SUITE DBL, </t>
    </r>
    <r>
      <rPr>
        <b/>
        <sz val="10"/>
        <rFont val="Arial Cyr"/>
        <family val="0"/>
      </rPr>
      <t>BB</t>
    </r>
  </si>
  <si>
    <r>
      <t xml:space="preserve">JR SUITE SGL, </t>
    </r>
    <r>
      <rPr>
        <b/>
        <sz val="10"/>
        <rFont val="Arial Cyr"/>
        <family val="0"/>
      </rPr>
      <t>BB</t>
    </r>
  </si>
  <si>
    <r>
      <t xml:space="preserve">EXTRA BED, </t>
    </r>
    <r>
      <rPr>
        <b/>
        <sz val="10"/>
        <rFont val="Arial Cyr"/>
        <family val="0"/>
      </rPr>
      <t>BB</t>
    </r>
  </si>
  <si>
    <t xml:space="preserve">Максимальное размещение во всех типах номеров : 2 взр +2 реб/3 взр.                                                                                                                                                                                                                                                              Минимальное размещение в номере Familiar: 2 взр+3 реб/3 взр +1 реб. Максимально: 3 взр.+ 3 реб (подростка)/2 взр. + 4 реб. (подростка) </t>
  </si>
  <si>
    <t>DBL c террасой // DBL Park View</t>
  </si>
  <si>
    <t>SGL c террасой // SGL Park View</t>
  </si>
  <si>
    <r>
      <t xml:space="preserve">Отель только для взрослых cтарше 15 лет. </t>
    </r>
    <r>
      <rPr>
        <i/>
        <sz val="11"/>
        <rFont val="Arial Cyr"/>
        <family val="0"/>
      </rPr>
      <t>Доплата за ужин 26 долл с чел</t>
    </r>
  </si>
  <si>
    <t xml:space="preserve">EXTRA BED (в Dbl c террасой или Dbl Park View) </t>
  </si>
  <si>
    <t xml:space="preserve">Доплата за ужин +26 долл с чел. Доплата за номер Panoramic View Dbl + 7 долл с чел, Elite Dbl + 45 долл с чел, Elite Jr Suite Dbl + 57 долл с чел </t>
  </si>
  <si>
    <t>SUITE PRESIDENCIAL (ЗА НОМЕР)</t>
  </si>
  <si>
    <t>Доплата за ужин + 32 долл с чел</t>
  </si>
  <si>
    <r>
      <rPr>
        <sz val="11"/>
        <rFont val="Arial Cyr"/>
        <family val="0"/>
      </rPr>
      <t>Tropicana Touristik</t>
    </r>
    <r>
      <rPr>
        <b/>
        <sz val="11"/>
        <rFont val="Arial Cyr"/>
        <family val="2"/>
      </rPr>
      <t xml:space="preserve">   </t>
    </r>
    <r>
      <rPr>
        <b/>
        <sz val="11"/>
        <color indexed="62"/>
        <rFont val="Arial Cyr"/>
        <family val="0"/>
      </rPr>
      <t xml:space="preserve">                </t>
    </r>
    <r>
      <rPr>
        <b/>
        <i/>
        <sz val="11"/>
        <color indexed="48"/>
        <rFont val="Arial Cyr"/>
        <family val="0"/>
      </rPr>
      <t>В ДОЛЛАРАХ</t>
    </r>
  </si>
  <si>
    <t>La Ronda  4*</t>
  </si>
  <si>
    <t>01.05.18 - 30.10.18</t>
  </si>
  <si>
    <t>Palco</t>
  </si>
  <si>
    <r>
      <t xml:space="preserve">           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</si>
  <si>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 xml:space="preserve">JR SUITE DBL SUPERIOR </t>
  </si>
  <si>
    <t xml:space="preserve">JR SUITE SGL SUPERIOR </t>
  </si>
  <si>
    <t>Доплата за ужин + 23 долл с чел</t>
  </si>
  <si>
    <t xml:space="preserve">1 взр+1 реб оплачивается как Dbl. Максимально 2 чел в номере. </t>
  </si>
  <si>
    <t>Max размещение 3 взр+1 реб, 2 взр+2 реб</t>
  </si>
  <si>
    <t>Be Live Experience Turquesa</t>
  </si>
  <si>
    <t xml:space="preserve">Be Live Experience Las Morlas </t>
  </si>
  <si>
    <r>
      <rPr>
        <i/>
        <sz val="11"/>
        <rFont val="Arial Cyr"/>
        <family val="0"/>
      </rPr>
      <t xml:space="preserve">Cubatur </t>
    </r>
    <r>
      <rPr>
        <i/>
        <sz val="11"/>
        <color indexed="12"/>
        <rFont val="Arial Cyr"/>
        <family val="0"/>
      </rPr>
      <t xml:space="preserve"> </t>
    </r>
    <r>
      <rPr>
        <b/>
        <i/>
        <sz val="11"/>
        <color indexed="12"/>
        <rFont val="Arial Cyr"/>
        <family val="0"/>
      </rPr>
      <t xml:space="preserve">                                  </t>
    </r>
    <r>
      <rPr>
        <b/>
        <i/>
        <sz val="11"/>
        <color indexed="12"/>
        <rFont val="Arial Cyr"/>
        <family val="0"/>
      </rPr>
      <t>В ДОЛЛАРАХ</t>
    </r>
  </si>
  <si>
    <t>01.05.18 - 30.06.18</t>
  </si>
  <si>
    <t>01.07.18 - 22.08.18</t>
  </si>
  <si>
    <t>23.08.18 - 31.10.18</t>
  </si>
  <si>
    <t>SGL VILLA</t>
  </si>
  <si>
    <t>DBL STD</t>
  </si>
  <si>
    <t>SGL STD</t>
  </si>
  <si>
    <t>Внимание!!! Отель на базе завтрака</t>
  </si>
  <si>
    <t>ВВ</t>
  </si>
  <si>
    <t>Oasis  2*</t>
  </si>
  <si>
    <r>
      <t xml:space="preserve">Melia     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</si>
  <si>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 xml:space="preserve">Доплата за Jr Suite Dbl Sea View + 20 долл с чел, за Villa Casa Verde Dbl или Villa Perla del Mar Dbl + 33 долл с чел </t>
  </si>
  <si>
    <r>
      <t xml:space="preserve">Melia    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</si>
  <si>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 xml:space="preserve">Finca Ma Dolores </t>
  </si>
  <si>
    <t>DBL cabaña (домик)</t>
  </si>
  <si>
    <t>SGL cabaña (домик)</t>
  </si>
  <si>
    <r>
      <t xml:space="preserve">Iberostar                             </t>
    </r>
    <r>
      <rPr>
        <sz val="11"/>
        <color indexed="12"/>
        <rFont val="Arial Cyr"/>
        <family val="0"/>
      </rPr>
      <t xml:space="preserve"> </t>
    </r>
    <r>
      <rPr>
        <b/>
        <i/>
        <sz val="11"/>
        <color indexed="48"/>
        <rFont val="Arial Cyr"/>
        <family val="0"/>
      </rPr>
      <t>В   ДОЛЛАРАХ</t>
    </r>
  </si>
  <si>
    <t>ROYAL SUITE DBL THE LEVEL</t>
  </si>
  <si>
    <t>GRAND SUITE DBL OCEAN VIEW THE LEVEL</t>
  </si>
  <si>
    <r>
      <t>VILLA ZAIDA DEL RIO THE LEVEL (</t>
    </r>
    <r>
      <rPr>
        <b/>
        <sz val="10"/>
        <color indexed="8"/>
        <rFont val="Arial Cyr"/>
        <family val="0"/>
      </rPr>
      <t>за виллу</t>
    </r>
    <r>
      <rPr>
        <sz val="10"/>
        <color indexed="8"/>
        <rFont val="Arial Cyr"/>
        <family val="0"/>
      </rPr>
      <t>)</t>
    </r>
  </si>
  <si>
    <t>Внимание! Отель только для взрослых от 18 лет!   Размещение 3-го взрослого в номере не допускается</t>
  </si>
  <si>
    <t>JR SUITE DBL THE LEVEL*</t>
  </si>
  <si>
    <t>JR SUITE SGL THE LEVEL*</t>
  </si>
  <si>
    <t>JR SUITE DBL ROMANCE OCEAN VIEW THE LEVEL*</t>
  </si>
  <si>
    <t>JR SUITE DBL OCEAN VIEW THE LEVEL*</t>
  </si>
  <si>
    <t xml:space="preserve">Доплата за номер Premium + 24 долл с чел, за Classic Ocean View + 33 долл с чел. </t>
  </si>
  <si>
    <r>
      <rPr>
        <b/>
        <i/>
        <sz val="11"/>
        <color indexed="30"/>
        <rFont val="Arial Cyr"/>
        <family val="0"/>
      </rPr>
      <t xml:space="preserve">ПРИ БРОНИРОВАНИИ ОТЕЛЯ МИНИМУМ ЗА 30 ДНЕЙ ДО ЗАЕЗДА СКИДКА 15% (для номеров Classic и Premium)    </t>
    </r>
    <r>
      <rPr>
        <b/>
        <i/>
        <sz val="11"/>
        <color indexed="48"/>
        <rFont val="Arial Cyr"/>
        <family val="0"/>
      </rPr>
      <t xml:space="preserve">                                                                                     </t>
    </r>
    <r>
      <rPr>
        <b/>
        <i/>
        <sz val="11"/>
        <color indexed="12"/>
        <rFont val="Arial Cyr"/>
        <family val="0"/>
      </rPr>
      <t>*cкидка раннего бронирования не даётся с доплаты за Sgl!</t>
    </r>
  </si>
  <si>
    <r>
      <t xml:space="preserve">FAMILIAR OCEAN  VIEW </t>
    </r>
    <r>
      <rPr>
        <b/>
        <sz val="10"/>
        <color indexed="8"/>
        <rFont val="Arial Cyr"/>
        <family val="0"/>
      </rPr>
      <t>(ЗА НОМЕР)</t>
    </r>
  </si>
  <si>
    <t>Max размещение в номерах STD 2 взр+1 реб, 3 взр, в номере Jr Suite 2 взр+2 реб, в номере Familiar Ocean View 4 взр+1 реб</t>
  </si>
  <si>
    <t>ПРИ БРОНИРОВАНИИ ОТЕЛЯ МИНИМУМ ЗА 30 ДНЕЙ ДО ЗАЕЗДА СКИДКА 10%  (для всех номеров, кроме Jr Suite и Familiar)</t>
  </si>
  <si>
    <t xml:space="preserve">LUXURY JR SUITE DBL OCEAN VIEW </t>
  </si>
  <si>
    <t>Доплата за одноместное размещение в номерах Luxury + 65 долл, в Royal Service + 91 долл</t>
  </si>
  <si>
    <t>ПРИ БРОНИРОВАНИИ ОТЕЛЯ МИНИМУМ ЗА 30 ДНЕЙ ДО ЗАЕЗДА СКИДКА 15%  (для категорий Jr Suite и Luxury Jr Suite, Luxury Jr Suite Ocean View)</t>
  </si>
  <si>
    <t>SUPERIOR DBL OCEAN VIEW</t>
  </si>
  <si>
    <t>SUPERIOR SGL OCEAN VIEW</t>
  </si>
  <si>
    <t>ПРИ БРОНИРОВАНИИ ОТЕЛЯ МИНИМУМ ЗА 30 ДНЕЙ ДО ЗАЕЗДА СКИДКА 15%  (для номеров Classic и Grand Premium Vista Laguna)</t>
  </si>
  <si>
    <t>GRAND SUITE DBL</t>
  </si>
  <si>
    <t>ПРИ БРОНИРОВАНИИ ОТЕЛЯ МИНИМУМ ЗА 30 ДНЕЙ ДО ЗАЕЗДА СКИДКА 15%  (исключая Grand Suite)</t>
  </si>
  <si>
    <t xml:space="preserve">Colonial Сayo Coco </t>
  </si>
  <si>
    <t>Playa Cayo Coco</t>
  </si>
  <si>
    <t>4+*</t>
  </si>
  <si>
    <t>Доплата за номер Ocean View 13 долл с человека, за Suite 26 долл с человека</t>
  </si>
  <si>
    <r>
      <t xml:space="preserve">Posada                 </t>
    </r>
    <r>
      <rPr>
        <sz val="11"/>
        <rFont val="Arial Cyr"/>
        <family val="2"/>
      </rPr>
      <t xml:space="preserve">       </t>
    </r>
    <r>
      <rPr>
        <b/>
        <sz val="11"/>
        <color indexed="12"/>
        <rFont val="Arial Cyr"/>
        <family val="2"/>
      </rPr>
      <t xml:space="preserve">            В  ДОЛЛАРАХ  </t>
    </r>
  </si>
  <si>
    <r>
      <t xml:space="preserve">Доплата за вид на море - </t>
    </r>
    <r>
      <rPr>
        <i/>
        <sz val="11"/>
        <color indexed="10"/>
        <rFont val="Arial Cyr"/>
        <family val="0"/>
      </rPr>
      <t xml:space="preserve">14 $ </t>
    </r>
    <r>
      <rPr>
        <i/>
        <sz val="11"/>
        <rFont val="Arial Cyr"/>
        <family val="0"/>
      </rPr>
      <t xml:space="preserve">с человека, за номер Privilege - </t>
    </r>
    <r>
      <rPr>
        <i/>
        <sz val="11"/>
        <color indexed="10"/>
        <rFont val="Arial Cyr"/>
        <family val="0"/>
      </rPr>
      <t xml:space="preserve">33 $ </t>
    </r>
    <r>
      <rPr>
        <i/>
        <sz val="11"/>
        <rFont val="Arial Cyr"/>
        <family val="0"/>
      </rPr>
      <t xml:space="preserve">с человека, за номер Privilege Ocean View - </t>
    </r>
    <r>
      <rPr>
        <i/>
        <sz val="11"/>
        <color indexed="10"/>
        <rFont val="Arial Cyr"/>
        <family val="0"/>
      </rPr>
      <t xml:space="preserve">45 $ </t>
    </r>
    <r>
      <rPr>
        <i/>
        <sz val="11"/>
        <rFont val="Arial Cyr"/>
        <family val="0"/>
      </rPr>
      <t xml:space="preserve">с человека  </t>
    </r>
  </si>
  <si>
    <t>01.10.18 - 31.10.18</t>
  </si>
  <si>
    <t>25.08.18 - 30.09.18</t>
  </si>
  <si>
    <t>01.05.18 - 30.05.18</t>
  </si>
  <si>
    <t xml:space="preserve">Доплата за номер Superior + 13 долл с чел </t>
  </si>
  <si>
    <t>Доплата за номер Ocean View 33 долл с человека, за Pestana Priority Club 13 долл с человека</t>
  </si>
  <si>
    <r>
      <t xml:space="preserve">Accor  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</si>
  <si>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r>
      <t>GOLDEN VILLA (</t>
    </r>
    <r>
      <rPr>
        <b/>
        <sz val="10"/>
        <color indexed="8"/>
        <rFont val="Arial Cyr"/>
        <family val="0"/>
      </rPr>
      <t>за виллу, max 4 взр</t>
    </r>
    <r>
      <rPr>
        <sz val="10"/>
        <color indexed="8"/>
        <rFont val="Arial Cyr"/>
        <family val="0"/>
      </rPr>
      <t xml:space="preserve">) </t>
    </r>
  </si>
  <si>
    <t xml:space="preserve">Доплата за Superior Ocean View 20 долл с чел </t>
  </si>
  <si>
    <t xml:space="preserve">ПРИ БРОНИРОВАНИИ ОТЕЛЯ ДО 30.04 СКИДКА 10%  </t>
  </si>
  <si>
    <t xml:space="preserve">Доплата за номера Deluxe Ocean View, Privilege Deluxe, Privilege Deluxe Ocean View, Privilege Suite под запрос  </t>
  </si>
  <si>
    <r>
      <t>Ocean</t>
    </r>
    <r>
      <rPr>
        <b/>
        <i/>
        <sz val="11"/>
        <rFont val="Arial Cyr"/>
        <family val="0"/>
      </rPr>
      <t xml:space="preserve">   </t>
    </r>
    <r>
      <rPr>
        <i/>
        <sz val="11"/>
        <rFont val="Arial Cyr"/>
        <family val="0"/>
      </rPr>
      <t xml:space="preserve">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</si>
  <si>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Grand Memories Santa  Maria</t>
  </si>
  <si>
    <t xml:space="preserve">Доплата за номер Ocean View + 11 долл с чел, за Suite Deluxe + 33 долл с чел.  </t>
  </si>
  <si>
    <t xml:space="preserve">Memories Paraiso  </t>
  </si>
  <si>
    <t xml:space="preserve">Доплата за номера conecting 4 долл с чел. </t>
  </si>
  <si>
    <t>Grand Muthu Cayo Guillermo</t>
  </si>
  <si>
    <r>
      <t xml:space="preserve">Muthu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</si>
  <si>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01.05.18 - 30.07.18</t>
  </si>
  <si>
    <t>01.08.18 - 24.08.18</t>
  </si>
  <si>
    <t>Доплата за номер Ocean View 20 долл с человека</t>
  </si>
  <si>
    <t>PREMIUM SGL</t>
  </si>
  <si>
    <t>PREMIUM DBL</t>
  </si>
  <si>
    <t xml:space="preserve">ПРИ БРОНИРОВАНИИ ОТЕЛЯ МИНИМУМ ЗА 30 ДНЕЙ ДО ЗАЕЗДА СКИДКА 10%  </t>
  </si>
  <si>
    <t xml:space="preserve">Melia San Carlos 4* </t>
  </si>
  <si>
    <r>
      <t xml:space="preserve">Melia    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</si>
  <si>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 xml:space="preserve">ПРИ БРОНИРОВАНИИ ОТЕЛЯ МИНИМУМ ЗА 30 ДНЕЙ ДО ЗАЕЗДА СКИДКА 10%   *cкидка раннего бронирования не даётся с доплаты за Sgl! </t>
  </si>
  <si>
    <t>15.07.18 - 31.10.18</t>
  </si>
  <si>
    <r>
      <t xml:space="preserve">!!!ВНИМАНИЕ: во время Feria de la Habana (FIHAV) </t>
    </r>
    <r>
      <rPr>
        <b/>
        <i/>
        <sz val="11"/>
        <color indexed="10"/>
        <rFont val="Arial Cyr"/>
        <family val="0"/>
      </rPr>
      <t xml:space="preserve">с 27.10 по 31.10 </t>
    </r>
    <r>
      <rPr>
        <b/>
        <i/>
        <sz val="11"/>
        <rFont val="Arial Cyr"/>
        <family val="0"/>
      </rPr>
      <t xml:space="preserve">обязательная доплата </t>
    </r>
    <r>
      <rPr>
        <b/>
        <i/>
        <sz val="11"/>
        <color indexed="10"/>
        <rFont val="Arial Cyr"/>
        <family val="0"/>
      </rPr>
      <t xml:space="preserve">26 долларов </t>
    </r>
    <r>
      <rPr>
        <b/>
        <i/>
        <sz val="11"/>
        <rFont val="Arial Cyr"/>
        <family val="0"/>
      </rPr>
      <t xml:space="preserve">с человека в номере за ночь!!! </t>
    </r>
  </si>
  <si>
    <t xml:space="preserve">ПРИ БРОНИРОВАНИИ ОТЕЛЯ МИНИМУМ ЗА 30 ДНЕЙ ДО ЗАЕЗДА СКИДКА 15% (кроме Master Suite)    *cкидка раннего бронирования не даётся с доплаты за Sgl! </t>
  </si>
  <si>
    <t xml:space="preserve">ПРИ БРОНИРОВАНИИ ОТЕЛЯ МИНИМУМ ЗА 30 ДНЕЙ ДО ЗАЕЗДА СКИДКА 15%       *cкидка раннего бронирования не даётся с доплаты за Sgl! </t>
  </si>
  <si>
    <t>PREMIUM GUESTROOM DBL PANORAMIC  VIEW (max 2 взр)</t>
  </si>
  <si>
    <t>Максимально разрещение 2 взр+2 реб или 3 взр+1 реб, 1 взр+3 реб.</t>
  </si>
  <si>
    <t xml:space="preserve">ПРИ БРОНИРОВАНИИ ОТЕЛЯ МИНИМУМ ЗА 30 ДНЕЙ ДО ЗАЕЗДА СКИДКА 15% (кроме Premium)    *cкидка раннего бронирования не даётся с доплаты за Sgl! </t>
  </si>
  <si>
    <r>
      <t xml:space="preserve">Трансферы групповые аэропорт Ольгина - отель на пляже Гуардалавака - </t>
    </r>
    <r>
      <rPr>
        <b/>
        <i/>
        <sz val="11"/>
        <color indexed="10"/>
        <rFont val="Arial Cyr"/>
        <family val="0"/>
      </rPr>
      <t>20 долл</t>
    </r>
  </si>
  <si>
    <r>
      <t xml:space="preserve">Внутренний перелёт Гавана - Кайо Cанта Мария + трансферы групповые от отеля до отеля - </t>
    </r>
    <r>
      <rPr>
        <b/>
        <i/>
        <sz val="11"/>
        <color indexed="10"/>
        <rFont val="Arial Cyr"/>
        <family val="0"/>
      </rPr>
      <t>115 долл OW</t>
    </r>
    <r>
      <rPr>
        <b/>
        <i/>
        <sz val="11"/>
        <rFont val="Arial Cyr"/>
        <family val="0"/>
      </rPr>
      <t xml:space="preserve">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</si>
  <si>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Внутренний перелёт Гавана - Кайо Энсеначос + трансферы групповые от отеля до отеля - </t>
    </r>
    <r>
      <rPr>
        <b/>
        <i/>
        <sz val="11"/>
        <color indexed="10"/>
        <rFont val="Arial Cyr"/>
        <family val="0"/>
      </rPr>
      <t>115 долл OW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</si>
  <si>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t>Спецпредложение от 02.03.18</t>
  </si>
  <si>
    <t>OVAV1 HAVANATUR RUSIA</t>
  </si>
  <si>
    <t>Спецпредложение от 05.03.18</t>
  </si>
  <si>
    <t>Спецпредложение от 07.03.18</t>
  </si>
  <si>
    <t>180307-W-S-HAV5</t>
  </si>
  <si>
    <t>Riviera 4*</t>
  </si>
  <si>
    <t>Iberostar Mojito 4*</t>
  </si>
  <si>
    <t>Доплата за номер Superior 13 долл с человека</t>
  </si>
  <si>
    <t xml:space="preserve">Спецпредложение от 09.03.18 </t>
  </si>
  <si>
    <t>SPC OFFER 2018</t>
  </si>
  <si>
    <t>Allegro Palma Real 4*</t>
  </si>
  <si>
    <r>
      <t xml:space="preserve">Barcelo    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</si>
  <si>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01.05.18 - 24.08.18</t>
  </si>
  <si>
    <t>Спецпредложение от 08.03.18</t>
  </si>
  <si>
    <t>180307-W-S-HAV4</t>
  </si>
  <si>
    <t>Спецпредложение от 09.03.18</t>
  </si>
  <si>
    <t>Спецпредложение от 13.03.18</t>
  </si>
  <si>
    <t>JR SUITE DBL Apartamento</t>
  </si>
  <si>
    <t>JR SUITE SGL Apartamento</t>
  </si>
  <si>
    <t>JR SUITE SANCTUARY DBL (только для взрослых)</t>
  </si>
  <si>
    <t>JR SUITE SANCTUARY SGL</t>
  </si>
  <si>
    <t>Спецпредложение от 15.03.18</t>
  </si>
  <si>
    <t>для бронирований до 15.05.18!</t>
  </si>
  <si>
    <t>01.05.18 - 24.10.18</t>
  </si>
  <si>
    <t>25.10.18 - 31.10.18</t>
  </si>
  <si>
    <t xml:space="preserve">Puntarena - Playa Caleta </t>
  </si>
  <si>
    <t xml:space="preserve">SGL Canal View  </t>
  </si>
  <si>
    <t xml:space="preserve">DBL Ocean View </t>
  </si>
  <si>
    <t xml:space="preserve">SGL Ocean View </t>
  </si>
  <si>
    <t xml:space="preserve">DBL Canal View  </t>
  </si>
  <si>
    <t>EXTRA BED  без балкона</t>
  </si>
  <si>
    <t>EXTRA BED  с балконом</t>
  </si>
  <si>
    <t>Спецпредложение от 09.04.18</t>
  </si>
  <si>
    <t>HAVSO-01</t>
  </si>
  <si>
    <t>Oferta de Verano, 2018</t>
  </si>
  <si>
    <t>Спецпредложение от 10.04.18</t>
  </si>
  <si>
    <t xml:space="preserve">Спецпредложение для бронирований </t>
  </si>
  <si>
    <t>с 10.04.18 по 30.06.18</t>
  </si>
  <si>
    <t>2018RUS2524</t>
  </si>
  <si>
    <t>2018RUS2554</t>
  </si>
  <si>
    <t>2018RUS2556</t>
  </si>
  <si>
    <t>2018RUS2508</t>
  </si>
  <si>
    <t>2018RUS2388</t>
  </si>
  <si>
    <t>2018RUS2467</t>
  </si>
  <si>
    <t>2018RUS2414</t>
  </si>
  <si>
    <t>2018RUS2405</t>
  </si>
  <si>
    <r>
      <t xml:space="preserve">ПРИ БРОНИРОВАНИИ ОТЕЛЯ МИНИМУМ ЗА 30 ДНЕЙ ДО ЗАЕЗДА СКИДКА 15%  (на категории номеров, помеченные *)                                                                      </t>
    </r>
    <r>
      <rPr>
        <b/>
        <i/>
        <sz val="11"/>
        <color indexed="12"/>
        <rFont val="Arial Cyr"/>
        <family val="0"/>
      </rPr>
      <t xml:space="preserve">*cкидка раннего бронирования не даётся с доплаты за Sgl!       На категории номеров по спецпредложению скидка раннего бронирования не  действует! </t>
    </r>
  </si>
  <si>
    <t>RUSA 001</t>
  </si>
  <si>
    <t xml:space="preserve">CHD + 2 взр (до 12 лет)   </t>
  </si>
  <si>
    <t>Paseo Habana 3*</t>
  </si>
  <si>
    <t>RUPH 001</t>
  </si>
  <si>
    <t>Caribbean 2*</t>
  </si>
  <si>
    <t>RUCB 001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</si>
</sst>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</numFmts>
  <fonts count="1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i/>
      <sz val="18"/>
      <color indexed="48"/>
      <name val="Arial Cyr"/>
      <family val="0"/>
    </font>
    <font>
      <b/>
      <i/>
      <sz val="11"/>
      <color indexed="12"/>
      <name val="Arial Cyr"/>
      <family val="2"/>
    </font>
    <font>
      <b/>
      <i/>
      <sz val="18"/>
      <color indexed="10"/>
      <name val="Arial Cyr"/>
      <family val="0"/>
    </font>
    <font>
      <b/>
      <i/>
      <sz val="16"/>
      <color indexed="12"/>
      <name val="Arial Cyr"/>
      <family val="0"/>
    </font>
    <font>
      <b/>
      <i/>
      <sz val="12"/>
      <color indexed="12"/>
      <name val="Arial Cyr"/>
      <family val="2"/>
    </font>
    <font>
      <i/>
      <sz val="12"/>
      <name val="Arial Cyr"/>
      <family val="2"/>
    </font>
    <font>
      <i/>
      <sz val="11"/>
      <color indexed="12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0"/>
      <color indexed="12"/>
      <name val="Arial Cyr"/>
      <family val="0"/>
    </font>
    <font>
      <b/>
      <sz val="11"/>
      <color indexed="8"/>
      <name val="Arial Cyr"/>
      <family val="2"/>
    </font>
    <font>
      <sz val="10"/>
      <color indexed="8"/>
      <name val="Arial Cyr"/>
      <family val="0"/>
    </font>
    <font>
      <b/>
      <sz val="11"/>
      <color indexed="12"/>
      <name val="Arial Cyr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2"/>
    </font>
    <font>
      <i/>
      <sz val="11"/>
      <color indexed="10"/>
      <name val="Arial Cyr"/>
      <family val="0"/>
    </font>
    <font>
      <i/>
      <sz val="11"/>
      <name val="Arial Cyr"/>
      <family val="2"/>
    </font>
    <font>
      <i/>
      <sz val="11"/>
      <color indexed="8"/>
      <name val="Arial Cyr"/>
      <family val="2"/>
    </font>
    <font>
      <sz val="11"/>
      <color indexed="8"/>
      <name val="Arial Cyr"/>
      <family val="2"/>
    </font>
    <font>
      <sz val="9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48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Arial Cyr"/>
      <family val="0"/>
    </font>
    <font>
      <sz val="11"/>
      <color indexed="10"/>
      <name val="Arial Cyr"/>
      <family val="0"/>
    </font>
    <font>
      <i/>
      <sz val="9"/>
      <name val="Arial Cyr"/>
      <family val="0"/>
    </font>
    <font>
      <b/>
      <sz val="10"/>
      <color indexed="44"/>
      <name val="Arial Cyr"/>
      <family val="0"/>
    </font>
    <font>
      <sz val="11"/>
      <color indexed="12"/>
      <name val="Arial Cyr"/>
      <family val="0"/>
    </font>
    <font>
      <b/>
      <sz val="9"/>
      <name val="Arial Cyr"/>
      <family val="2"/>
    </font>
    <font>
      <b/>
      <i/>
      <sz val="11"/>
      <color indexed="8"/>
      <name val="Arial Cyr"/>
      <family val="0"/>
    </font>
    <font>
      <b/>
      <sz val="11"/>
      <color indexed="62"/>
      <name val="Arial Cyr"/>
      <family val="0"/>
    </font>
    <font>
      <i/>
      <sz val="11"/>
      <color indexed="48"/>
      <name val="Arial Cyr"/>
      <family val="0"/>
    </font>
    <font>
      <b/>
      <i/>
      <sz val="12"/>
      <name val="Arial Cyr"/>
      <family val="0"/>
    </font>
    <font>
      <u val="single"/>
      <sz val="10"/>
      <name val="Arial Cyr"/>
      <family val="0"/>
    </font>
    <font>
      <u val="single"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9"/>
      <name val="Arial Cyr"/>
      <family val="0"/>
    </font>
    <font>
      <b/>
      <sz val="10"/>
      <color indexed="8"/>
      <name val="Arial Cyr"/>
      <family val="2"/>
    </font>
    <font>
      <i/>
      <sz val="10"/>
      <name val="Arial Cyr"/>
      <family val="2"/>
    </font>
    <font>
      <b/>
      <i/>
      <u val="single"/>
      <sz val="12"/>
      <name val="Arial Cyr"/>
      <family val="2"/>
    </font>
    <font>
      <b/>
      <i/>
      <sz val="12"/>
      <color indexed="10"/>
      <name val="Arial Cyr"/>
      <family val="0"/>
    </font>
    <font>
      <i/>
      <sz val="14"/>
      <name val="Arial Cyr"/>
      <family val="0"/>
    </font>
    <font>
      <b/>
      <i/>
      <u val="single"/>
      <sz val="14"/>
      <name val="Arial Cyr"/>
      <family val="0"/>
    </font>
    <font>
      <b/>
      <sz val="11"/>
      <color indexed="48"/>
      <name val="Arial Cyr"/>
      <family val="0"/>
    </font>
    <font>
      <b/>
      <i/>
      <sz val="11"/>
      <color indexed="10"/>
      <name val="Calibri"/>
      <family val="2"/>
    </font>
    <font>
      <sz val="9"/>
      <color indexed="8"/>
      <name val="Arial Cyr"/>
      <family val="0"/>
    </font>
    <font>
      <b/>
      <i/>
      <sz val="11"/>
      <color indexed="30"/>
      <name val="Arial Cyr"/>
      <family val="0"/>
    </font>
    <font>
      <b/>
      <sz val="12"/>
      <name val="Arial Cyr"/>
      <family val="0"/>
    </font>
    <font>
      <i/>
      <sz val="11"/>
      <name val="Arial"/>
      <family val="2"/>
    </font>
    <font>
      <b/>
      <sz val="18"/>
      <color indexed="56"/>
      <name val="Calibri"/>
      <family val="2"/>
    </font>
    <font>
      <u val="single"/>
      <sz val="12"/>
      <color indexed="12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color indexed="12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u val="single"/>
      <sz val="10"/>
      <color indexed="20"/>
      <name val="Arial Cyr"/>
      <family val="0"/>
    </font>
    <font>
      <b/>
      <i/>
      <sz val="14"/>
      <color indexed="12"/>
      <name val="Calibri"/>
      <family val="2"/>
    </font>
    <font>
      <sz val="11"/>
      <color indexed="30"/>
      <name val="Calibri"/>
      <family val="2"/>
    </font>
    <font>
      <sz val="11"/>
      <color indexed="30"/>
      <name val="Arial Cyr"/>
      <family val="0"/>
    </font>
    <font>
      <b/>
      <i/>
      <sz val="16"/>
      <color indexed="10"/>
      <name val="Arial Cyr"/>
      <family val="2"/>
    </font>
    <font>
      <b/>
      <u val="single"/>
      <sz val="12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 Cyr"/>
      <family val="0"/>
    </font>
    <font>
      <sz val="12"/>
      <color indexed="12"/>
      <name val="Arial"/>
      <family val="2"/>
    </font>
    <font>
      <sz val="10"/>
      <color indexed="12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Cyr"/>
      <family val="0"/>
    </font>
    <font>
      <b/>
      <sz val="11"/>
      <color rgb="FFFF0000"/>
      <name val="Arial Cyr"/>
      <family val="0"/>
    </font>
    <font>
      <b/>
      <i/>
      <sz val="11"/>
      <color rgb="FF0070C0"/>
      <name val="Arial Cyr"/>
      <family val="0"/>
    </font>
    <font>
      <b/>
      <sz val="12"/>
      <color rgb="FFFF0000"/>
      <name val="Arial Cyr"/>
      <family val="0"/>
    </font>
    <font>
      <b/>
      <i/>
      <sz val="11"/>
      <color rgb="FF0066FF"/>
      <name val="Arial Cyr"/>
      <family val="0"/>
    </font>
    <font>
      <b/>
      <sz val="10"/>
      <color rgb="FFFF0000"/>
      <name val="Arial Cyr"/>
      <family val="0"/>
    </font>
    <font>
      <b/>
      <i/>
      <sz val="14"/>
      <color rgb="FF0000FF"/>
      <name val="Calibri"/>
      <family val="2"/>
    </font>
    <font>
      <sz val="11"/>
      <color rgb="FF0070C0"/>
      <name val="Calibri"/>
      <family val="2"/>
    </font>
    <font>
      <sz val="11"/>
      <color rgb="FF0070C0"/>
      <name val="Arial Cyr"/>
      <family val="0"/>
    </font>
    <font>
      <b/>
      <sz val="10"/>
      <color rgb="FF0000FF"/>
      <name val="Arial Cyr"/>
      <family val="2"/>
    </font>
    <font>
      <b/>
      <i/>
      <sz val="16"/>
      <color rgb="FFFF0000"/>
      <name val="Arial Cyr"/>
      <family val="2"/>
    </font>
    <font>
      <b/>
      <i/>
      <sz val="11"/>
      <color rgb="FFFF0000"/>
      <name val="Arial Cyr"/>
      <family val="2"/>
    </font>
    <font>
      <i/>
      <sz val="11"/>
      <color rgb="FFFF0000"/>
      <name val="Arial Cyr"/>
      <family val="2"/>
    </font>
    <font>
      <sz val="11"/>
      <color rgb="FFFF0000"/>
      <name val="Arial Cyr"/>
      <family val="2"/>
    </font>
    <font>
      <sz val="11"/>
      <color rgb="FF0000FF"/>
      <name val="Arial Cyr"/>
      <family val="0"/>
    </font>
    <font>
      <b/>
      <u val="single"/>
      <sz val="12"/>
      <color rgb="FF0000FF"/>
      <name val="Arial"/>
      <family val="2"/>
    </font>
    <font>
      <b/>
      <i/>
      <u val="single"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12"/>
      <color rgb="FF0000FF"/>
      <name val="Arial Cyr"/>
      <family val="2"/>
    </font>
    <font>
      <sz val="12"/>
      <color rgb="FF0000FF"/>
      <name val="Arial Cyr"/>
      <family val="0"/>
    </font>
    <font>
      <sz val="12"/>
      <color rgb="FF0000FF"/>
      <name val="Arial"/>
      <family val="2"/>
    </font>
    <font>
      <u val="single"/>
      <sz val="12"/>
      <color rgb="FF0000FF"/>
      <name val="Arial Cyr"/>
      <family val="0"/>
    </font>
    <font>
      <b/>
      <sz val="9"/>
      <color rgb="FFFF0000"/>
      <name val="Arial Cyr"/>
      <family val="2"/>
    </font>
    <font>
      <b/>
      <sz val="14"/>
      <color rgb="FFFF0000"/>
      <name val="Arial Cyr"/>
      <family val="0"/>
    </font>
    <font>
      <b/>
      <i/>
      <sz val="11"/>
      <color rgb="FF0000FF"/>
      <name val="Arial Cyr"/>
      <family val="0"/>
    </font>
    <font>
      <sz val="10"/>
      <color rgb="FF0000FF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medium"/>
      <right/>
      <top/>
      <bottom style="double"/>
    </border>
    <border>
      <left style="medium"/>
      <right style="thin"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 style="double"/>
      <right style="thin"/>
      <top/>
      <bottom style="double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double"/>
    </border>
    <border>
      <left/>
      <right style="thin"/>
      <top style="double"/>
      <bottom style="double"/>
    </border>
    <border>
      <left style="thin"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double"/>
      <bottom/>
    </border>
    <border>
      <left style="medium"/>
      <right/>
      <top style="double"/>
      <bottom/>
    </border>
    <border>
      <left style="thin"/>
      <right/>
      <top style="double"/>
      <bottom style="double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3" fillId="26" borderId="1" applyNumberFormat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11" fillId="28" borderId="7" applyNumberFormat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</cellStyleXfs>
  <cellXfs count="1190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7" fillId="33" borderId="0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right"/>
    </xf>
    <xf numFmtId="0" fontId="29" fillId="29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" fontId="19" fillId="33" borderId="12" xfId="0" applyNumberFormat="1" applyFont="1" applyFill="1" applyBorder="1" applyAlignment="1" applyProtection="1">
      <alignment horizontal="center"/>
      <protection hidden="1"/>
    </xf>
    <xf numFmtId="0" fontId="34" fillId="33" borderId="0" xfId="0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30" fillId="29" borderId="11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/>
    </xf>
    <xf numFmtId="0" fontId="29" fillId="33" borderId="13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center"/>
    </xf>
    <xf numFmtId="0" fontId="29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5" fillId="33" borderId="12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32" fillId="33" borderId="15" xfId="0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9" fillId="33" borderId="0" xfId="0" applyFont="1" applyFill="1" applyAlignment="1">
      <alignment horizontal="center" vertical="center"/>
    </xf>
    <xf numFmtId="0" fontId="34" fillId="33" borderId="0" xfId="0" applyFont="1" applyFill="1" applyBorder="1" applyAlignment="1">
      <alignment/>
    </xf>
    <xf numFmtId="0" fontId="29" fillId="29" borderId="16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1" fontId="40" fillId="33" borderId="0" xfId="0" applyNumberFormat="1" applyFont="1" applyFill="1" applyBorder="1" applyAlignment="1">
      <alignment horizontal="center"/>
    </xf>
    <xf numFmtId="0" fontId="30" fillId="29" borderId="16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1" fontId="1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center" vertical="center"/>
    </xf>
    <xf numFmtId="1" fontId="19" fillId="33" borderId="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1" fontId="46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" fontId="19" fillId="33" borderId="12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1" fontId="19" fillId="33" borderId="0" xfId="0" applyNumberFormat="1" applyFont="1" applyFill="1" applyBorder="1" applyAlignment="1" applyProtection="1">
      <alignment horizontal="center"/>
      <protection hidden="1"/>
    </xf>
    <xf numFmtId="1" fontId="19" fillId="33" borderId="12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29" fillId="29" borderId="18" xfId="0" applyFont="1" applyFill="1" applyBorder="1" applyAlignment="1">
      <alignment horizontal="center" vertical="center"/>
    </xf>
    <xf numFmtId="1" fontId="47" fillId="33" borderId="0" xfId="0" applyNumberFormat="1" applyFont="1" applyFill="1" applyBorder="1" applyAlignment="1">
      <alignment/>
    </xf>
    <xf numFmtId="0" fontId="29" fillId="29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/>
    </xf>
    <xf numFmtId="1" fontId="19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0" fontId="29" fillId="33" borderId="14" xfId="0" applyFont="1" applyFill="1" applyBorder="1" applyAlignment="1" applyProtection="1">
      <alignment horizontal="center"/>
      <protection hidden="1"/>
    </xf>
    <xf numFmtId="0" fontId="38" fillId="29" borderId="11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29" fillId="33" borderId="13" xfId="0" applyFont="1" applyFill="1" applyBorder="1" applyAlignment="1" applyProtection="1">
      <alignment horizontal="center"/>
      <protection hidden="1"/>
    </xf>
    <xf numFmtId="1" fontId="19" fillId="33" borderId="10" xfId="0" applyNumberFormat="1" applyFont="1" applyFill="1" applyBorder="1" applyAlignment="1" applyProtection="1">
      <alignment horizontal="center"/>
      <protection hidden="1"/>
    </xf>
    <xf numFmtId="0" fontId="19" fillId="33" borderId="0" xfId="0" applyFont="1" applyFill="1" applyAlignment="1">
      <alignment/>
    </xf>
    <xf numFmtId="1" fontId="47" fillId="33" borderId="0" xfId="0" applyNumberFormat="1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27" fillId="29" borderId="11" xfId="0" applyFont="1" applyFill="1" applyBorder="1" applyAlignment="1">
      <alignment horizontal="center" vertical="center"/>
    </xf>
    <xf numFmtId="0" fontId="52" fillId="0" borderId="0" xfId="0" applyFont="1" applyBorder="1" applyAlignment="1" applyProtection="1">
      <alignment/>
      <protection hidden="1"/>
    </xf>
    <xf numFmtId="0" fontId="29" fillId="29" borderId="15" xfId="0" applyFont="1" applyFill="1" applyBorder="1" applyAlignment="1">
      <alignment horizontal="center"/>
    </xf>
    <xf numFmtId="1" fontId="19" fillId="33" borderId="15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center"/>
      <protection hidden="1"/>
    </xf>
    <xf numFmtId="0" fontId="19" fillId="33" borderId="12" xfId="0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center"/>
    </xf>
    <xf numFmtId="1" fontId="47" fillId="33" borderId="0" xfId="0" applyNumberFormat="1" applyFont="1" applyFill="1" applyBorder="1" applyAlignment="1">
      <alignment horizontal="center"/>
    </xf>
    <xf numFmtId="0" fontId="38" fillId="29" borderId="15" xfId="0" applyFont="1" applyFill="1" applyBorder="1" applyAlignment="1">
      <alignment horizontal="center"/>
    </xf>
    <xf numFmtId="0" fontId="44" fillId="29" borderId="22" xfId="0" applyFont="1" applyFill="1" applyBorder="1" applyAlignment="1">
      <alignment horizontal="center"/>
    </xf>
    <xf numFmtId="0" fontId="44" fillId="29" borderId="23" xfId="0" applyFont="1" applyFill="1" applyBorder="1" applyAlignment="1">
      <alignment horizontal="center"/>
    </xf>
    <xf numFmtId="1" fontId="47" fillId="33" borderId="0" xfId="0" applyNumberFormat="1" applyFont="1" applyFill="1" applyBorder="1" applyAlignment="1" applyProtection="1">
      <alignment horizontal="center"/>
      <protection hidden="1"/>
    </xf>
    <xf numFmtId="1" fontId="47" fillId="33" borderId="10" xfId="0" applyNumberFormat="1" applyFont="1" applyFill="1" applyBorder="1" applyAlignment="1" applyProtection="1">
      <alignment horizontal="center"/>
      <protection hidden="1"/>
    </xf>
    <xf numFmtId="1" fontId="44" fillId="33" borderId="0" xfId="0" applyNumberFormat="1" applyFont="1" applyFill="1" applyBorder="1" applyAlignment="1">
      <alignment/>
    </xf>
    <xf numFmtId="0" fontId="38" fillId="29" borderId="11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/>
    </xf>
    <xf numFmtId="0" fontId="19" fillId="33" borderId="0" xfId="0" applyFont="1" applyFill="1" applyAlignment="1" applyProtection="1">
      <alignment/>
      <protection hidden="1"/>
    </xf>
    <xf numFmtId="0" fontId="29" fillId="33" borderId="13" xfId="0" applyFont="1" applyFill="1" applyBorder="1" applyAlignment="1">
      <alignment/>
    </xf>
    <xf numFmtId="1" fontId="47" fillId="33" borderId="0" xfId="0" applyNumberFormat="1" applyFont="1" applyFill="1" applyBorder="1" applyAlignment="1">
      <alignment/>
    </xf>
    <xf numFmtId="1" fontId="27" fillId="33" borderId="0" xfId="0" applyNumberFormat="1" applyFont="1" applyFill="1" applyBorder="1" applyAlignment="1" applyProtection="1">
      <alignment horizontal="left"/>
      <protection hidden="1"/>
    </xf>
    <xf numFmtId="0" fontId="24" fillId="33" borderId="0" xfId="0" applyFont="1" applyFill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8" fillId="33" borderId="17" xfId="0" applyFont="1" applyFill="1" applyBorder="1" applyAlignment="1">
      <alignment/>
    </xf>
    <xf numFmtId="1" fontId="19" fillId="33" borderId="0" xfId="0" applyNumberFormat="1" applyFont="1" applyFill="1" applyBorder="1" applyAlignment="1">
      <alignment horizontal="center"/>
    </xf>
    <xf numFmtId="0" fontId="29" fillId="33" borderId="2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left"/>
    </xf>
    <xf numFmtId="0" fontId="0" fillId="33" borderId="0" xfId="0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29" fillId="33" borderId="13" xfId="0" applyFont="1" applyFill="1" applyBorder="1" applyAlignment="1" applyProtection="1">
      <alignment/>
      <protection hidden="1"/>
    </xf>
    <xf numFmtId="0" fontId="39" fillId="33" borderId="20" xfId="0" applyFont="1" applyFill="1" applyBorder="1" applyAlignment="1" applyProtection="1">
      <alignment/>
      <protection hidden="1"/>
    </xf>
    <xf numFmtId="0" fontId="39" fillId="33" borderId="0" xfId="0" applyFont="1" applyFill="1" applyBorder="1" applyAlignment="1" applyProtection="1">
      <alignment horizontal="left"/>
      <protection hidden="1"/>
    </xf>
    <xf numFmtId="0" fontId="39" fillId="33" borderId="10" xfId="0" applyFont="1" applyFill="1" applyBorder="1" applyAlignment="1" applyProtection="1">
      <alignment horizontal="left"/>
      <protection hidden="1"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/>
    </xf>
    <xf numFmtId="0" fontId="29" fillId="29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29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1" fontId="57" fillId="33" borderId="0" xfId="0" applyNumberFormat="1" applyFont="1" applyFill="1" applyBorder="1" applyAlignment="1" applyProtection="1">
      <alignment horizontal="center"/>
      <protection hidden="1"/>
    </xf>
    <xf numFmtId="0" fontId="58" fillId="33" borderId="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31" fillId="29" borderId="15" xfId="0" applyFont="1" applyFill="1" applyBorder="1" applyAlignment="1">
      <alignment horizontal="left"/>
    </xf>
    <xf numFmtId="0" fontId="29" fillId="29" borderId="15" xfId="0" applyFont="1" applyFill="1" applyBorder="1" applyAlignment="1">
      <alignment horizontal="left"/>
    </xf>
    <xf numFmtId="0" fontId="59" fillId="29" borderId="15" xfId="0" applyFont="1" applyFill="1" applyBorder="1" applyAlignment="1">
      <alignment/>
    </xf>
    <xf numFmtId="0" fontId="51" fillId="29" borderId="11" xfId="0" applyFont="1" applyFill="1" applyBorder="1" applyAlignment="1">
      <alignment horizontal="left"/>
    </xf>
    <xf numFmtId="0" fontId="50" fillId="33" borderId="12" xfId="0" applyFont="1" applyFill="1" applyBorder="1" applyAlignment="1">
      <alignment/>
    </xf>
    <xf numFmtId="0" fontId="33" fillId="29" borderId="15" xfId="0" applyFont="1" applyFill="1" applyBorder="1" applyAlignment="1">
      <alignment horizontal="left"/>
    </xf>
    <xf numFmtId="0" fontId="33" fillId="29" borderId="11" xfId="0" applyFont="1" applyFill="1" applyBorder="1" applyAlignment="1">
      <alignment horizontal="left"/>
    </xf>
    <xf numFmtId="1" fontId="19" fillId="33" borderId="25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29" fillId="29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19" fillId="33" borderId="0" xfId="87" applyFont="1" applyFill="1" applyBorder="1" applyProtection="1">
      <alignment/>
      <protection hidden="1"/>
    </xf>
    <xf numFmtId="0" fontId="19" fillId="33" borderId="0" xfId="87" applyFont="1" applyFill="1">
      <alignment/>
      <protection/>
    </xf>
    <xf numFmtId="0" fontId="36" fillId="33" borderId="13" xfId="0" applyFont="1" applyFill="1" applyBorder="1" applyAlignment="1">
      <alignment horizontal="center"/>
    </xf>
    <xf numFmtId="0" fontId="49" fillId="29" borderId="16" xfId="0" applyFont="1" applyFill="1" applyBorder="1" applyAlignment="1">
      <alignment horizontal="left"/>
    </xf>
    <xf numFmtId="0" fontId="29" fillId="29" borderId="26" xfId="0" applyFont="1" applyFill="1" applyBorder="1" applyAlignment="1">
      <alignment horizontal="center" vertical="center"/>
    </xf>
    <xf numFmtId="1" fontId="40" fillId="33" borderId="10" xfId="0" applyNumberFormat="1" applyFont="1" applyFill="1" applyBorder="1" applyAlignment="1">
      <alignment horizontal="center"/>
    </xf>
    <xf numFmtId="0" fontId="34" fillId="33" borderId="0" xfId="87" applyFont="1" applyFill="1" applyBorder="1" applyAlignment="1" applyProtection="1">
      <alignment horizontal="left"/>
      <protection hidden="1"/>
    </xf>
    <xf numFmtId="0" fontId="34" fillId="29" borderId="11" xfId="0" applyFont="1" applyFill="1" applyBorder="1" applyAlignment="1">
      <alignment horizontal="center" vertical="center"/>
    </xf>
    <xf numFmtId="1" fontId="19" fillId="33" borderId="0" xfId="87" applyNumberFormat="1" applyFont="1" applyFill="1" applyBorder="1" applyAlignment="1" applyProtection="1">
      <alignment horizontal="center"/>
      <protection hidden="1"/>
    </xf>
    <xf numFmtId="0" fontId="29" fillId="33" borderId="15" xfId="0" applyFont="1" applyFill="1" applyBorder="1" applyAlignment="1">
      <alignment horizontal="center" vertical="top" wrapText="1"/>
    </xf>
    <xf numFmtId="0" fontId="29" fillId="33" borderId="17" xfId="0" applyFont="1" applyFill="1" applyBorder="1" applyAlignment="1">
      <alignment horizontal="left" vertical="top" wrapText="1"/>
    </xf>
    <xf numFmtId="0" fontId="67" fillId="33" borderId="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0" fillId="33" borderId="27" xfId="0" applyFill="1" applyBorder="1" applyAlignment="1">
      <alignment wrapText="1"/>
    </xf>
    <xf numFmtId="0" fontId="0" fillId="33" borderId="10" xfId="0" applyFill="1" applyBorder="1" applyAlignment="1">
      <alignment horizontal="left"/>
    </xf>
    <xf numFmtId="0" fontId="29" fillId="33" borderId="12" xfId="0" applyFont="1" applyFill="1" applyBorder="1" applyAlignment="1">
      <alignment horizontal="center"/>
    </xf>
    <xf numFmtId="0" fontId="38" fillId="33" borderId="20" xfId="87" applyFont="1" applyFill="1" applyBorder="1" applyProtection="1">
      <alignment/>
      <protection hidden="1"/>
    </xf>
    <xf numFmtId="0" fontId="32" fillId="33" borderId="10" xfId="0" applyFont="1" applyFill="1" applyBorder="1" applyAlignment="1">
      <alignment/>
    </xf>
    <xf numFmtId="0" fontId="29" fillId="33" borderId="12" xfId="87" applyFont="1" applyFill="1" applyBorder="1" applyAlignment="1" applyProtection="1">
      <alignment horizontal="left"/>
      <protection hidden="1"/>
    </xf>
    <xf numFmtId="0" fontId="19" fillId="33" borderId="12" xfId="87" applyFont="1" applyFill="1" applyBorder="1" applyAlignment="1" applyProtection="1">
      <alignment horizontal="center"/>
      <protection hidden="1"/>
    </xf>
    <xf numFmtId="0" fontId="0" fillId="33" borderId="12" xfId="87" applyFont="1" applyFill="1" applyBorder="1" applyProtection="1">
      <alignment/>
      <protection hidden="1"/>
    </xf>
    <xf numFmtId="0" fontId="29" fillId="33" borderId="13" xfId="87" applyFont="1" applyFill="1" applyBorder="1" applyAlignment="1" applyProtection="1">
      <alignment horizontal="center"/>
      <protection hidden="1"/>
    </xf>
    <xf numFmtId="0" fontId="29" fillId="33" borderId="14" xfId="87" applyFont="1" applyFill="1" applyBorder="1" applyAlignment="1" applyProtection="1">
      <alignment horizontal="center"/>
      <protection hidden="1"/>
    </xf>
    <xf numFmtId="0" fontId="32" fillId="33" borderId="15" xfId="87" applyFont="1" applyFill="1" applyBorder="1" applyProtection="1">
      <alignment/>
      <protection hidden="1"/>
    </xf>
    <xf numFmtId="0" fontId="32" fillId="33" borderId="17" xfId="87" applyFont="1" applyFill="1" applyBorder="1" applyProtection="1">
      <alignment/>
      <protection hidden="1"/>
    </xf>
    <xf numFmtId="1" fontId="47" fillId="33" borderId="25" xfId="0" applyNumberFormat="1" applyFont="1" applyFill="1" applyBorder="1" applyAlignment="1">
      <alignment horizontal="center"/>
    </xf>
    <xf numFmtId="0" fontId="29" fillId="33" borderId="13" xfId="87" applyFont="1" applyFill="1" applyBorder="1" applyAlignment="1" applyProtection="1">
      <alignment horizontal="left"/>
      <protection hidden="1"/>
    </xf>
    <xf numFmtId="0" fontId="44" fillId="33" borderId="12" xfId="0" applyFont="1" applyFill="1" applyBorder="1" applyAlignment="1">
      <alignment/>
    </xf>
    <xf numFmtId="0" fontId="29" fillId="33" borderId="13" xfId="0" applyFont="1" applyFill="1" applyBorder="1" applyAlignment="1">
      <alignment horizontal="center"/>
    </xf>
    <xf numFmtId="0" fontId="44" fillId="33" borderId="28" xfId="0" applyFont="1" applyFill="1" applyBorder="1" applyAlignment="1">
      <alignment/>
    </xf>
    <xf numFmtId="0" fontId="31" fillId="33" borderId="14" xfId="0" applyFont="1" applyFill="1" applyBorder="1" applyAlignment="1">
      <alignment/>
    </xf>
    <xf numFmtId="0" fontId="31" fillId="33" borderId="14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36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31" fillId="33" borderId="15" xfId="0" applyFont="1" applyFill="1" applyBorder="1" applyAlignment="1">
      <alignment horizontal="left" vertical="center"/>
    </xf>
    <xf numFmtId="0" fontId="31" fillId="33" borderId="15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left"/>
    </xf>
    <xf numFmtId="0" fontId="41" fillId="33" borderId="15" xfId="0" applyFont="1" applyFill="1" applyBorder="1" applyAlignment="1">
      <alignment/>
    </xf>
    <xf numFmtId="0" fontId="29" fillId="33" borderId="15" xfId="0" applyFont="1" applyFill="1" applyBorder="1" applyAlignment="1">
      <alignment horizontal="center"/>
    </xf>
    <xf numFmtId="0" fontId="29" fillId="33" borderId="15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31" fillId="33" borderId="13" xfId="0" applyFont="1" applyFill="1" applyBorder="1" applyAlignment="1">
      <alignment/>
    </xf>
    <xf numFmtId="0" fontId="31" fillId="33" borderId="13" xfId="0" applyFont="1" applyFill="1" applyBorder="1" applyAlignment="1">
      <alignment horizontal="center"/>
    </xf>
    <xf numFmtId="0" fontId="40" fillId="33" borderId="13" xfId="0" applyFont="1" applyFill="1" applyBorder="1" applyAlignment="1">
      <alignment/>
    </xf>
    <xf numFmtId="0" fontId="31" fillId="33" borderId="15" xfId="0" applyFont="1" applyFill="1" applyBorder="1" applyAlignment="1">
      <alignment/>
    </xf>
    <xf numFmtId="0" fontId="32" fillId="33" borderId="24" xfId="0" applyFont="1" applyFill="1" applyBorder="1" applyAlignment="1">
      <alignment/>
    </xf>
    <xf numFmtId="0" fontId="29" fillId="33" borderId="15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left"/>
    </xf>
    <xf numFmtId="0" fontId="31" fillId="33" borderId="13" xfId="0" applyFont="1" applyFill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29" fillId="33" borderId="14" xfId="87" applyFont="1" applyFill="1" applyBorder="1">
      <alignment/>
      <protection/>
    </xf>
    <xf numFmtId="0" fontId="29" fillId="33" borderId="14" xfId="87" applyFont="1" applyFill="1" applyBorder="1" applyAlignment="1">
      <alignment horizontal="center"/>
      <protection/>
    </xf>
    <xf numFmtId="0" fontId="36" fillId="33" borderId="14" xfId="87" applyFont="1" applyFill="1" applyBorder="1" applyAlignment="1">
      <alignment horizontal="center"/>
      <protection/>
    </xf>
    <xf numFmtId="0" fontId="38" fillId="33" borderId="17" xfId="87" applyFont="1" applyFill="1" applyBorder="1" applyAlignment="1">
      <alignment horizontal="left"/>
      <protection/>
    </xf>
    <xf numFmtId="0" fontId="29" fillId="33" borderId="14" xfId="0" applyFont="1" applyFill="1" applyBorder="1" applyAlignment="1">
      <alignment horizontal="left"/>
    </xf>
    <xf numFmtId="0" fontId="38" fillId="33" borderId="19" xfId="0" applyFont="1" applyFill="1" applyBorder="1" applyAlignment="1">
      <alignment horizontal="left"/>
    </xf>
    <xf numFmtId="0" fontId="29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19" fillId="33" borderId="19" xfId="0" applyFont="1" applyFill="1" applyBorder="1" applyAlignment="1">
      <alignment/>
    </xf>
    <xf numFmtId="0" fontId="19" fillId="33" borderId="19" xfId="0" applyFont="1" applyFill="1" applyBorder="1" applyAlignment="1">
      <alignment horizontal="left"/>
    </xf>
    <xf numFmtId="0" fontId="29" fillId="33" borderId="14" xfId="87" applyFont="1" applyFill="1" applyBorder="1" applyAlignment="1" applyProtection="1">
      <alignment horizontal="left"/>
      <protection hidden="1"/>
    </xf>
    <xf numFmtId="0" fontId="39" fillId="33" borderId="20" xfId="0" applyFont="1" applyFill="1" applyBorder="1" applyAlignment="1">
      <alignment/>
    </xf>
    <xf numFmtId="0" fontId="0" fillId="33" borderId="15" xfId="87" applyFill="1" applyBorder="1" applyProtection="1">
      <alignment/>
      <protection hidden="1"/>
    </xf>
    <xf numFmtId="0" fontId="29" fillId="33" borderId="12" xfId="0" applyFont="1" applyFill="1" applyBorder="1" applyAlignment="1">
      <alignment horizontal="left"/>
    </xf>
    <xf numFmtId="0" fontId="29" fillId="33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4" fillId="33" borderId="14" xfId="87" applyFont="1" applyFill="1" applyBorder="1" applyAlignment="1" applyProtection="1">
      <alignment horizontal="center"/>
      <protection hidden="1"/>
    </xf>
    <xf numFmtId="0" fontId="38" fillId="33" borderId="20" xfId="0" applyFont="1" applyFill="1" applyBorder="1" applyAlignment="1" applyProtection="1">
      <alignment/>
      <protection hidden="1"/>
    </xf>
    <xf numFmtId="0" fontId="29" fillId="33" borderId="29" xfId="0" applyFont="1" applyFill="1" applyBorder="1" applyAlignment="1">
      <alignment horizontal="left"/>
    </xf>
    <xf numFmtId="0" fontId="39" fillId="33" borderId="20" xfId="87" applyFont="1" applyFill="1" applyBorder="1" applyProtection="1">
      <alignment/>
      <protection hidden="1"/>
    </xf>
    <xf numFmtId="0" fontId="51" fillId="33" borderId="12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left"/>
    </xf>
    <xf numFmtId="0" fontId="51" fillId="33" borderId="30" xfId="0" applyFont="1" applyFill="1" applyBorder="1" applyAlignment="1">
      <alignment horizontal="center"/>
    </xf>
    <xf numFmtId="0" fontId="68" fillId="33" borderId="17" xfId="0" applyFont="1" applyFill="1" applyBorder="1" applyAlignment="1">
      <alignment/>
    </xf>
    <xf numFmtId="0" fontId="29" fillId="33" borderId="24" xfId="0" applyFont="1" applyFill="1" applyBorder="1" applyAlignment="1">
      <alignment horizontal="left"/>
    </xf>
    <xf numFmtId="0" fontId="42" fillId="33" borderId="15" xfId="0" applyFont="1" applyFill="1" applyBorder="1" applyAlignment="1">
      <alignment horizontal="center"/>
    </xf>
    <xf numFmtId="0" fontId="29" fillId="33" borderId="3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44" fillId="33" borderId="14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left"/>
    </xf>
    <xf numFmtId="0" fontId="29" fillId="33" borderId="15" xfId="87" applyFont="1" applyFill="1" applyBorder="1" applyProtection="1">
      <alignment/>
      <protection hidden="1"/>
    </xf>
    <xf numFmtId="0" fontId="0" fillId="33" borderId="29" xfId="87" applyFont="1" applyFill="1" applyBorder="1" applyProtection="1">
      <alignment/>
      <protection hidden="1"/>
    </xf>
    <xf numFmtId="0" fontId="29" fillId="33" borderId="15" xfId="87" applyFont="1" applyFill="1" applyBorder="1" applyAlignment="1" applyProtection="1">
      <alignment horizontal="center"/>
      <protection hidden="1"/>
    </xf>
    <xf numFmtId="0" fontId="0" fillId="33" borderId="12" xfId="87" applyFont="1" applyFill="1" applyBorder="1" applyProtection="1">
      <alignment/>
      <protection hidden="1"/>
    </xf>
    <xf numFmtId="0" fontId="0" fillId="33" borderId="15" xfId="87" applyFont="1" applyFill="1" applyBorder="1" applyProtection="1">
      <alignment/>
      <protection hidden="1"/>
    </xf>
    <xf numFmtId="0" fontId="42" fillId="33" borderId="15" xfId="87" applyFont="1" applyFill="1" applyBorder="1" applyAlignment="1" applyProtection="1">
      <alignment horizontal="center"/>
      <protection hidden="1"/>
    </xf>
    <xf numFmtId="0" fontId="0" fillId="33" borderId="15" xfId="87" applyFont="1" applyFill="1" applyBorder="1">
      <alignment/>
      <protection/>
    </xf>
    <xf numFmtId="0" fontId="38" fillId="33" borderId="17" xfId="87" applyFont="1" applyFill="1" applyBorder="1" applyProtection="1">
      <alignment/>
      <protection hidden="1"/>
    </xf>
    <xf numFmtId="0" fontId="0" fillId="33" borderId="15" xfId="87" applyFont="1" applyFill="1" applyBorder="1" applyAlignment="1" applyProtection="1">
      <alignment horizontal="left"/>
      <protection hidden="1"/>
    </xf>
    <xf numFmtId="0" fontId="0" fillId="33" borderId="15" xfId="87" applyFill="1" applyBorder="1">
      <alignment/>
      <protection/>
    </xf>
    <xf numFmtId="0" fontId="0" fillId="33" borderId="28" xfId="87" applyFont="1" applyFill="1" applyBorder="1" applyProtection="1">
      <alignment/>
      <protection hidden="1"/>
    </xf>
    <xf numFmtId="0" fontId="42" fillId="33" borderId="14" xfId="87" applyFont="1" applyFill="1" applyBorder="1" applyAlignment="1" applyProtection="1">
      <alignment horizontal="center"/>
      <protection hidden="1"/>
    </xf>
    <xf numFmtId="0" fontId="32" fillId="33" borderId="28" xfId="0" applyFont="1" applyFill="1" applyBorder="1" applyAlignment="1">
      <alignment/>
    </xf>
    <xf numFmtId="0" fontId="29" fillId="33" borderId="32" xfId="0" applyFont="1" applyFill="1" applyBorder="1" applyAlignment="1">
      <alignment/>
    </xf>
    <xf numFmtId="0" fontId="29" fillId="33" borderId="12" xfId="0" applyFont="1" applyFill="1" applyBorder="1" applyAlignment="1" applyProtection="1">
      <alignment horizontal="left"/>
      <protection hidden="1"/>
    </xf>
    <xf numFmtId="0" fontId="19" fillId="33" borderId="12" xfId="0" applyFont="1" applyFill="1" applyBorder="1" applyAlignment="1" applyProtection="1">
      <alignment horizontal="center"/>
      <protection hidden="1"/>
    </xf>
    <xf numFmtId="0" fontId="29" fillId="33" borderId="33" xfId="0" applyFont="1" applyFill="1" applyBorder="1" applyAlignment="1">
      <alignment horizontal="left"/>
    </xf>
    <xf numFmtId="0" fontId="29" fillId="33" borderId="14" xfId="87" applyFont="1" applyFill="1" applyBorder="1" applyProtection="1">
      <alignment/>
      <protection hidden="1"/>
    </xf>
    <xf numFmtId="0" fontId="29" fillId="33" borderId="0" xfId="87" applyFont="1" applyFill="1" applyBorder="1" applyAlignment="1" applyProtection="1">
      <alignment horizontal="center"/>
      <protection hidden="1"/>
    </xf>
    <xf numFmtId="1" fontId="19" fillId="33" borderId="24" xfId="0" applyNumberFormat="1" applyFont="1" applyFill="1" applyBorder="1" applyAlignment="1" applyProtection="1">
      <alignment horizontal="center"/>
      <protection hidden="1"/>
    </xf>
    <xf numFmtId="0" fontId="0" fillId="33" borderId="29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2" fillId="33" borderId="29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2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30" fillId="33" borderId="13" xfId="0" applyFont="1" applyFill="1" applyBorder="1" applyAlignment="1">
      <alignment horizontal="center"/>
    </xf>
    <xf numFmtId="0" fontId="39" fillId="33" borderId="10" xfId="87" applyFont="1" applyFill="1" applyBorder="1" applyProtection="1">
      <alignment/>
      <protection hidden="1"/>
    </xf>
    <xf numFmtId="0" fontId="0" fillId="33" borderId="10" xfId="87" applyFont="1" applyFill="1" applyBorder="1" applyProtection="1">
      <alignment/>
      <protection hidden="1"/>
    </xf>
    <xf numFmtId="0" fontId="39" fillId="33" borderId="25" xfId="87" applyFont="1" applyFill="1" applyBorder="1" applyProtection="1">
      <alignment/>
      <protection hidden="1"/>
    </xf>
    <xf numFmtId="0" fontId="0" fillId="33" borderId="25" xfId="87" applyFont="1" applyFill="1" applyBorder="1" applyProtection="1">
      <alignment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29" fillId="33" borderId="32" xfId="0" applyFont="1" applyFill="1" applyBorder="1" applyAlignment="1">
      <alignment horizontal="left"/>
    </xf>
    <xf numFmtId="0" fontId="29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29" fillId="34" borderId="29" xfId="87" applyFont="1" applyFill="1" applyBorder="1" applyAlignment="1" applyProtection="1">
      <alignment horizontal="left"/>
      <protection hidden="1"/>
    </xf>
    <xf numFmtId="0" fontId="29" fillId="34" borderId="12" xfId="87" applyFont="1" applyFill="1" applyBorder="1" applyAlignment="1" applyProtection="1">
      <alignment horizontal="center"/>
      <protection hidden="1"/>
    </xf>
    <xf numFmtId="0" fontId="48" fillId="34" borderId="12" xfId="87" applyFont="1" applyFill="1" applyBorder="1" applyAlignment="1" applyProtection="1">
      <alignment horizontal="left"/>
      <protection hidden="1"/>
    </xf>
    <xf numFmtId="0" fontId="38" fillId="34" borderId="12" xfId="87" applyFont="1" applyFill="1" applyBorder="1" applyAlignment="1" applyProtection="1">
      <alignment horizontal="left"/>
      <protection hidden="1"/>
    </xf>
    <xf numFmtId="0" fontId="0" fillId="34" borderId="0" xfId="0" applyFill="1" applyAlignment="1">
      <alignment/>
    </xf>
    <xf numFmtId="0" fontId="38" fillId="33" borderId="0" xfId="87" applyFont="1" applyFill="1" applyBorder="1" applyAlignment="1" applyProtection="1">
      <alignment horizontal="left"/>
      <protection hidden="1"/>
    </xf>
    <xf numFmtId="0" fontId="34" fillId="33" borderId="12" xfId="87" applyFont="1" applyFill="1" applyBorder="1" applyAlignment="1" applyProtection="1">
      <alignment horizontal="left"/>
      <protection hidden="1"/>
    </xf>
    <xf numFmtId="0" fontId="0" fillId="34" borderId="29" xfId="87" applyFont="1" applyFill="1" applyBorder="1" applyProtection="1">
      <alignment/>
      <protection hidden="1"/>
    </xf>
    <xf numFmtId="0" fontId="0" fillId="34" borderId="12" xfId="87" applyFont="1" applyFill="1" applyBorder="1" applyProtection="1">
      <alignment/>
      <protection hidden="1"/>
    </xf>
    <xf numFmtId="0" fontId="38" fillId="34" borderId="28" xfId="87" applyFont="1" applyFill="1" applyBorder="1" applyAlignment="1" applyProtection="1">
      <alignment horizontal="left"/>
      <protection hidden="1"/>
    </xf>
    <xf numFmtId="0" fontId="0" fillId="34" borderId="28" xfId="87" applyFont="1" applyFill="1" applyBorder="1" applyProtection="1">
      <alignment/>
      <protection hidden="1"/>
    </xf>
    <xf numFmtId="0" fontId="29" fillId="35" borderId="11" xfId="87" applyFont="1" applyFill="1" applyBorder="1" applyAlignment="1" applyProtection="1">
      <alignment horizontal="center" vertical="center"/>
      <protection hidden="1"/>
    </xf>
    <xf numFmtId="0" fontId="0" fillId="35" borderId="34" xfId="87" applyFont="1" applyFill="1" applyBorder="1" applyAlignment="1" applyProtection="1">
      <alignment horizontal="center" vertical="center"/>
      <protection hidden="1"/>
    </xf>
    <xf numFmtId="0" fontId="34" fillId="33" borderId="12" xfId="0" applyFont="1" applyFill="1" applyBorder="1" applyAlignment="1">
      <alignment/>
    </xf>
    <xf numFmtId="0" fontId="32" fillId="33" borderId="12" xfId="87" applyFont="1" applyFill="1" applyBorder="1">
      <alignment/>
      <protection/>
    </xf>
    <xf numFmtId="0" fontId="32" fillId="33" borderId="28" xfId="87" applyFont="1" applyFill="1" applyBorder="1">
      <alignment/>
      <protection/>
    </xf>
    <xf numFmtId="1" fontId="19" fillId="34" borderId="10" xfId="0" applyNumberFormat="1" applyFont="1" applyFill="1" applyBorder="1" applyAlignment="1" applyProtection="1">
      <alignment horizontal="center"/>
      <protection hidden="1"/>
    </xf>
    <xf numFmtId="0" fontId="19" fillId="34" borderId="0" xfId="0" applyFont="1" applyFill="1" applyAlignment="1">
      <alignment/>
    </xf>
    <xf numFmtId="0" fontId="0" fillId="33" borderId="29" xfId="87" applyFont="1" applyFill="1" applyBorder="1" applyProtection="1">
      <alignment/>
      <protection hidden="1"/>
    </xf>
    <xf numFmtId="0" fontId="19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87" applyFont="1" applyFill="1" applyBorder="1">
      <alignment/>
      <protection/>
    </xf>
    <xf numFmtId="0" fontId="0" fillId="33" borderId="15" xfId="87" applyFont="1" applyFill="1" applyBorder="1" applyProtection="1">
      <alignment/>
      <protection hidden="1"/>
    </xf>
    <xf numFmtId="0" fontId="27" fillId="34" borderId="0" xfId="87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>
      <alignment/>
    </xf>
    <xf numFmtId="0" fontId="42" fillId="29" borderId="11" xfId="0" applyFont="1" applyFill="1" applyBorder="1" applyAlignment="1">
      <alignment horizontal="center" vertical="center"/>
    </xf>
    <xf numFmtId="0" fontId="0" fillId="33" borderId="12" xfId="87" applyFont="1" applyFill="1" applyBorder="1" applyAlignment="1" applyProtection="1">
      <alignment horizontal="left"/>
      <protection hidden="1"/>
    </xf>
    <xf numFmtId="0" fontId="19" fillId="34" borderId="12" xfId="0" applyFont="1" applyFill="1" applyBorder="1" applyAlignment="1">
      <alignment/>
    </xf>
    <xf numFmtId="0" fontId="29" fillId="33" borderId="30" xfId="0" applyFont="1" applyFill="1" applyBorder="1" applyAlignment="1">
      <alignment horizontal="center"/>
    </xf>
    <xf numFmtId="0" fontId="19" fillId="34" borderId="0" xfId="0" applyFont="1" applyFill="1" applyAlignment="1">
      <alignment/>
    </xf>
    <xf numFmtId="0" fontId="44" fillId="29" borderId="24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left" wrapText="1"/>
    </xf>
    <xf numFmtId="0" fontId="29" fillId="33" borderId="33" xfId="87" applyFont="1" applyFill="1" applyBorder="1" applyAlignment="1" applyProtection="1">
      <alignment horizontal="left"/>
      <protection hidden="1"/>
    </xf>
    <xf numFmtId="0" fontId="0" fillId="33" borderId="28" xfId="0" applyFill="1" applyBorder="1" applyAlignment="1" applyProtection="1">
      <alignment/>
      <protection hidden="1"/>
    </xf>
    <xf numFmtId="0" fontId="44" fillId="29" borderId="24" xfId="0" applyFont="1" applyFill="1" applyBorder="1" applyAlignment="1">
      <alignment horizontal="center"/>
    </xf>
    <xf numFmtId="0" fontId="44" fillId="29" borderId="29" xfId="0" applyFont="1" applyFill="1" applyBorder="1" applyAlignment="1">
      <alignment horizontal="center"/>
    </xf>
    <xf numFmtId="0" fontId="27" fillId="34" borderId="0" xfId="87" applyFont="1" applyFill="1" applyBorder="1" applyAlignment="1" applyProtection="1">
      <alignment horizontal="left"/>
      <protection hidden="1"/>
    </xf>
    <xf numFmtId="0" fontId="0" fillId="33" borderId="15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31" fillId="33" borderId="30" xfId="0" applyFont="1" applyFill="1" applyBorder="1" applyAlignment="1">
      <alignment horizontal="center"/>
    </xf>
    <xf numFmtId="0" fontId="32" fillId="34" borderId="15" xfId="87" applyFont="1" applyFill="1" applyBorder="1" applyProtection="1">
      <alignment/>
      <protection hidden="1"/>
    </xf>
    <xf numFmtId="0" fontId="0" fillId="34" borderId="15" xfId="87" applyFont="1" applyFill="1" applyBorder="1" applyProtection="1">
      <alignment/>
      <protection hidden="1"/>
    </xf>
    <xf numFmtId="0" fontId="0" fillId="34" borderId="17" xfId="87" applyFont="1" applyFill="1" applyBorder="1" applyProtection="1">
      <alignment/>
      <protection hidden="1"/>
    </xf>
    <xf numFmtId="0" fontId="69" fillId="33" borderId="0" xfId="87" applyFont="1" applyFill="1" applyBorder="1" applyAlignment="1" applyProtection="1">
      <alignment horizontal="left"/>
      <protection hidden="1"/>
    </xf>
    <xf numFmtId="0" fontId="32" fillId="34" borderId="12" xfId="87" applyFont="1" applyFill="1" applyBorder="1" applyProtection="1">
      <alignment/>
      <protection hidden="1"/>
    </xf>
    <xf numFmtId="0" fontId="0" fillId="34" borderId="15" xfId="87" applyFont="1" applyFill="1" applyBorder="1" applyProtection="1">
      <alignment/>
      <protection hidden="1"/>
    </xf>
    <xf numFmtId="0" fontId="39" fillId="34" borderId="0" xfId="87" applyFont="1" applyFill="1" applyBorder="1" applyAlignment="1" applyProtection="1">
      <alignment horizontal="left"/>
      <protection hidden="1"/>
    </xf>
    <xf numFmtId="0" fontId="0" fillId="34" borderId="35" xfId="87" applyFont="1" applyFill="1" applyBorder="1" applyProtection="1">
      <alignment/>
      <protection hidden="1"/>
    </xf>
    <xf numFmtId="0" fontId="0" fillId="34" borderId="24" xfId="87" applyFont="1" applyFill="1" applyBorder="1" applyProtection="1">
      <alignment/>
      <protection hidden="1"/>
    </xf>
    <xf numFmtId="0" fontId="0" fillId="34" borderId="11" xfId="87" applyFont="1" applyFill="1" applyBorder="1" applyProtection="1">
      <alignment/>
      <protection hidden="1"/>
    </xf>
    <xf numFmtId="0" fontId="38" fillId="33" borderId="0" xfId="87" applyFont="1" applyFill="1" applyBorder="1" applyAlignment="1" applyProtection="1">
      <alignment horizontal="left"/>
      <protection hidden="1"/>
    </xf>
    <xf numFmtId="0" fontId="29" fillId="33" borderId="24" xfId="0" applyFont="1" applyFill="1" applyBorder="1" applyAlignment="1">
      <alignment horizontal="left" vertical="top" wrapText="1"/>
    </xf>
    <xf numFmtId="0" fontId="32" fillId="34" borderId="24" xfId="87" applyFont="1" applyFill="1" applyBorder="1" applyProtection="1">
      <alignment/>
      <protection hidden="1"/>
    </xf>
    <xf numFmtId="0" fontId="32" fillId="34" borderId="17" xfId="87" applyFont="1" applyFill="1" applyBorder="1" applyAlignment="1" applyProtection="1">
      <alignment horizontal="left"/>
      <protection hidden="1"/>
    </xf>
    <xf numFmtId="0" fontId="0" fillId="33" borderId="30" xfId="0" applyFont="1" applyFill="1" applyBorder="1" applyAlignment="1">
      <alignment/>
    </xf>
    <xf numFmtId="0" fontId="31" fillId="34" borderId="12" xfId="87" applyFont="1" applyFill="1" applyBorder="1" applyAlignment="1" applyProtection="1">
      <alignment horizontal="center" vertical="center"/>
      <protection hidden="1"/>
    </xf>
    <xf numFmtId="0" fontId="41" fillId="34" borderId="24" xfId="87" applyFont="1" applyFill="1" applyBorder="1" applyProtection="1">
      <alignment/>
      <protection hidden="1"/>
    </xf>
    <xf numFmtId="0" fontId="36" fillId="34" borderId="12" xfId="0" applyFont="1" applyFill="1" applyBorder="1" applyAlignment="1">
      <alignment horizontal="center"/>
    </xf>
    <xf numFmtId="0" fontId="41" fillId="34" borderId="15" xfId="87" applyFont="1" applyFill="1" applyBorder="1" applyProtection="1">
      <alignment/>
      <protection hidden="1"/>
    </xf>
    <xf numFmtId="0" fontId="36" fillId="34" borderId="0" xfId="0" applyFont="1" applyFill="1" applyBorder="1" applyAlignment="1">
      <alignment horizontal="center"/>
    </xf>
    <xf numFmtId="0" fontId="41" fillId="34" borderId="17" xfId="87" applyFont="1" applyFill="1" applyBorder="1" applyProtection="1">
      <alignment/>
      <protection hidden="1"/>
    </xf>
    <xf numFmtId="0" fontId="27" fillId="33" borderId="10" xfId="0" applyFont="1" applyFill="1" applyBorder="1" applyAlignment="1">
      <alignment horizontal="left"/>
    </xf>
    <xf numFmtId="0" fontId="0" fillId="34" borderId="15" xfId="87" applyFill="1" applyBorder="1" applyProtection="1">
      <alignment/>
      <protection hidden="1"/>
    </xf>
    <xf numFmtId="0" fontId="0" fillId="34" borderId="17" xfId="87" applyFill="1" applyBorder="1" applyProtection="1">
      <alignment/>
      <protection hidden="1"/>
    </xf>
    <xf numFmtId="0" fontId="0" fillId="34" borderId="15" xfId="87" applyFont="1" applyFill="1" applyBorder="1" applyProtection="1">
      <alignment/>
      <protection hidden="1"/>
    </xf>
    <xf numFmtId="0" fontId="0" fillId="34" borderId="17" xfId="87" applyFont="1" applyFill="1" applyBorder="1" applyProtection="1">
      <alignment/>
      <protection hidden="1"/>
    </xf>
    <xf numFmtId="0" fontId="32" fillId="34" borderId="17" xfId="87" applyFont="1" applyFill="1" applyBorder="1" applyProtection="1">
      <alignment/>
      <protection hidden="1"/>
    </xf>
    <xf numFmtId="0" fontId="0" fillId="34" borderId="15" xfId="87" applyFill="1" applyBorder="1">
      <alignment/>
      <protection/>
    </xf>
    <xf numFmtId="0" fontId="37" fillId="33" borderId="25" xfId="0" applyFont="1" applyFill="1" applyBorder="1" applyAlignment="1" applyProtection="1">
      <alignment horizontal="left"/>
      <protection hidden="1"/>
    </xf>
    <xf numFmtId="0" fontId="38" fillId="33" borderId="25" xfId="0" applyFont="1" applyFill="1" applyBorder="1" applyAlignment="1" applyProtection="1">
      <alignment horizontal="left"/>
      <protection hidden="1"/>
    </xf>
    <xf numFmtId="0" fontId="0" fillId="34" borderId="0" xfId="87" applyFont="1" applyFill="1" applyBorder="1" applyProtection="1">
      <alignment/>
      <protection hidden="1"/>
    </xf>
    <xf numFmtId="0" fontId="0" fillId="34" borderId="15" xfId="87" applyFill="1" applyBorder="1" applyAlignment="1" applyProtection="1">
      <alignment horizontal="left"/>
      <protection hidden="1"/>
    </xf>
    <xf numFmtId="0" fontId="29" fillId="34" borderId="12" xfId="87" applyFont="1" applyFill="1" applyBorder="1" applyProtection="1">
      <alignment/>
      <protection hidden="1"/>
    </xf>
    <xf numFmtId="0" fontId="96" fillId="34" borderId="12" xfId="87" applyFont="1" applyFill="1" applyBorder="1" applyAlignment="1" applyProtection="1">
      <alignment horizontal="center"/>
      <protection hidden="1"/>
    </xf>
    <xf numFmtId="0" fontId="0" fillId="34" borderId="12" xfId="87" applyFill="1" applyBorder="1" applyProtection="1">
      <alignment/>
      <protection hidden="1"/>
    </xf>
    <xf numFmtId="0" fontId="30" fillId="33" borderId="14" xfId="0" applyFont="1" applyFill="1" applyBorder="1" applyAlignment="1">
      <alignment horizontal="center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29" fillId="33" borderId="0" xfId="87" applyFont="1" applyFill="1" applyBorder="1" applyAlignment="1" applyProtection="1">
      <alignment horizontal="left"/>
      <protection hidden="1"/>
    </xf>
    <xf numFmtId="0" fontId="29" fillId="33" borderId="15" xfId="87" applyFont="1" applyFill="1" applyBorder="1" applyAlignment="1" applyProtection="1">
      <alignment horizontal="left"/>
      <protection hidden="1"/>
    </xf>
    <xf numFmtId="0" fontId="28" fillId="33" borderId="0" xfId="87" applyFont="1" applyFill="1" applyBorder="1" applyProtection="1">
      <alignment/>
      <protection hidden="1"/>
    </xf>
    <xf numFmtId="0" fontId="0" fillId="33" borderId="17" xfId="87" applyFont="1" applyFill="1" applyBorder="1" applyProtection="1">
      <alignment/>
      <protection hidden="1"/>
    </xf>
    <xf numFmtId="0" fontId="38" fillId="34" borderId="17" xfId="87" applyFont="1" applyFill="1" applyBorder="1" applyAlignment="1" applyProtection="1">
      <alignment horizontal="left"/>
      <protection hidden="1"/>
    </xf>
    <xf numFmtId="0" fontId="0" fillId="34" borderId="24" xfId="87" applyFill="1" applyBorder="1" applyAlignment="1" applyProtection="1">
      <alignment horizontal="left"/>
      <protection hidden="1"/>
    </xf>
    <xf numFmtId="0" fontId="0" fillId="34" borderId="15" xfId="87" applyFont="1" applyFill="1" applyBorder="1">
      <alignment/>
      <protection/>
    </xf>
    <xf numFmtId="0" fontId="0" fillId="34" borderId="17" xfId="87" applyFont="1" applyFill="1" applyBorder="1">
      <alignment/>
      <protection/>
    </xf>
    <xf numFmtId="0" fontId="0" fillId="34" borderId="17" xfId="87" applyFill="1" applyBorder="1">
      <alignment/>
      <protection/>
    </xf>
    <xf numFmtId="0" fontId="38" fillId="33" borderId="28" xfId="87" applyFont="1" applyFill="1" applyBorder="1" applyAlignment="1">
      <alignment horizontal="left"/>
      <protection/>
    </xf>
    <xf numFmtId="0" fontId="19" fillId="33" borderId="0" xfId="87" applyFont="1" applyFill="1" applyBorder="1" applyProtection="1">
      <alignment/>
      <protection hidden="1"/>
    </xf>
    <xf numFmtId="0" fontId="0" fillId="34" borderId="24" xfId="87" applyFont="1" applyFill="1" applyBorder="1">
      <alignment/>
      <protection/>
    </xf>
    <xf numFmtId="0" fontId="30" fillId="34" borderId="12" xfId="0" applyFont="1" applyFill="1" applyBorder="1" applyAlignment="1">
      <alignment horizontal="center"/>
    </xf>
    <xf numFmtId="0" fontId="97" fillId="34" borderId="17" xfId="87" applyFont="1" applyFill="1" applyBorder="1" applyAlignment="1" applyProtection="1">
      <alignment horizontal="left"/>
      <protection hidden="1"/>
    </xf>
    <xf numFmtId="0" fontId="29" fillId="33" borderId="30" xfId="0" applyFont="1" applyFill="1" applyBorder="1" applyAlignment="1">
      <alignment horizontal="center"/>
    </xf>
    <xf numFmtId="0" fontId="38" fillId="34" borderId="0" xfId="87" applyFont="1" applyFill="1" applyBorder="1" applyProtection="1">
      <alignment/>
      <protection hidden="1"/>
    </xf>
    <xf numFmtId="0" fontId="0" fillId="33" borderId="17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2" fillId="33" borderId="25" xfId="0" applyFont="1" applyFill="1" applyBorder="1" applyAlignment="1">
      <alignment/>
    </xf>
    <xf numFmtId="0" fontId="44" fillId="33" borderId="15" xfId="0" applyFont="1" applyFill="1" applyBorder="1" applyAlignment="1">
      <alignment horizontal="center"/>
    </xf>
    <xf numFmtId="0" fontId="98" fillId="29" borderId="11" xfId="0" applyFont="1" applyFill="1" applyBorder="1" applyAlignment="1">
      <alignment horizontal="center" vertical="center"/>
    </xf>
    <xf numFmtId="0" fontId="38" fillId="33" borderId="10" xfId="87" applyFont="1" applyFill="1" applyBorder="1" applyAlignment="1">
      <alignment horizontal="left"/>
      <protection/>
    </xf>
    <xf numFmtId="0" fontId="0" fillId="34" borderId="10" xfId="87" applyFont="1" applyFill="1" applyBorder="1">
      <alignment/>
      <protection/>
    </xf>
    <xf numFmtId="0" fontId="0" fillId="33" borderId="12" xfId="87" applyFont="1" applyFill="1" applyBorder="1">
      <alignment/>
      <protection/>
    </xf>
    <xf numFmtId="0" fontId="0" fillId="33" borderId="24" xfId="0" applyFont="1" applyFill="1" applyBorder="1" applyAlignment="1">
      <alignment/>
    </xf>
    <xf numFmtId="0" fontId="34" fillId="33" borderId="0" xfId="87" applyFont="1" applyFill="1" applyBorder="1" applyAlignment="1">
      <alignment horizontal="left"/>
      <protection/>
    </xf>
    <xf numFmtId="0" fontId="19" fillId="33" borderId="0" xfId="87" applyFont="1" applyFill="1" applyBorder="1" applyAlignment="1" applyProtection="1">
      <alignment/>
      <protection hidden="1"/>
    </xf>
    <xf numFmtId="0" fontId="34" fillId="33" borderId="0" xfId="87" applyFont="1" applyFill="1" applyBorder="1" applyAlignment="1">
      <alignment/>
      <protection/>
    </xf>
    <xf numFmtId="0" fontId="19" fillId="33" borderId="36" xfId="87" applyFont="1" applyFill="1" applyBorder="1" applyProtection="1">
      <alignment/>
      <protection hidden="1"/>
    </xf>
    <xf numFmtId="0" fontId="29" fillId="33" borderId="29" xfId="87" applyFont="1" applyFill="1" applyBorder="1">
      <alignment/>
      <protection/>
    </xf>
    <xf numFmtId="0" fontId="29" fillId="33" borderId="12" xfId="87" applyFont="1" applyFill="1" applyBorder="1" applyAlignment="1">
      <alignment horizontal="center"/>
      <protection/>
    </xf>
    <xf numFmtId="0" fontId="44" fillId="33" borderId="12" xfId="87" applyFont="1" applyFill="1" applyBorder="1" applyAlignment="1">
      <alignment horizontal="center"/>
      <protection/>
    </xf>
    <xf numFmtId="0" fontId="0" fillId="33" borderId="15" xfId="87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29" fillId="34" borderId="0" xfId="87" applyFont="1" applyFill="1" applyBorder="1" applyAlignment="1" applyProtection="1">
      <alignment/>
      <protection hidden="1"/>
    </xf>
    <xf numFmtId="1" fontId="19" fillId="34" borderId="0" xfId="87" applyNumberFormat="1" applyFont="1" applyFill="1" applyBorder="1" applyAlignment="1" applyProtection="1">
      <alignment/>
      <protection hidden="1"/>
    </xf>
    <xf numFmtId="0" fontId="99" fillId="33" borderId="10" xfId="0" applyFont="1" applyFill="1" applyBorder="1" applyAlignment="1">
      <alignment horizontal="left"/>
    </xf>
    <xf numFmtId="0" fontId="19" fillId="33" borderId="0" xfId="87" applyFont="1" applyFill="1" applyBorder="1" applyAlignment="1" applyProtection="1">
      <alignment horizontal="center"/>
      <protection hidden="1"/>
    </xf>
    <xf numFmtId="0" fontId="29" fillId="33" borderId="0" xfId="87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wrapText="1"/>
    </xf>
    <xf numFmtId="0" fontId="0" fillId="34" borderId="17" xfId="87" applyFont="1" applyFill="1" applyBorder="1" applyProtection="1">
      <alignment/>
      <protection hidden="1"/>
    </xf>
    <xf numFmtId="1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29" xfId="87" applyNumberFormat="1" applyFont="1" applyFill="1" applyBorder="1" applyAlignment="1" applyProtection="1">
      <alignment horizontal="center"/>
      <protection hidden="1"/>
    </xf>
    <xf numFmtId="1" fontId="19" fillId="34" borderId="10" xfId="87" applyNumberFormat="1" applyFont="1" applyFill="1" applyBorder="1" applyAlignment="1" applyProtection="1">
      <alignment horizontal="center"/>
      <protection hidden="1"/>
    </xf>
    <xf numFmtId="0" fontId="32" fillId="33" borderId="29" xfId="87" applyFont="1" applyFill="1" applyBorder="1" applyProtection="1">
      <alignment/>
      <protection hidden="1"/>
    </xf>
    <xf numFmtId="1" fontId="19" fillId="33" borderId="25" xfId="87" applyNumberFormat="1" applyFont="1" applyFill="1" applyBorder="1" applyAlignment="1" applyProtection="1">
      <alignment horizontal="center"/>
      <protection hidden="1"/>
    </xf>
    <xf numFmtId="0" fontId="0" fillId="33" borderId="12" xfId="87" applyFont="1" applyFill="1" applyBorder="1" applyProtection="1">
      <alignment/>
      <protection hidden="1"/>
    </xf>
    <xf numFmtId="0" fontId="0" fillId="33" borderId="28" xfId="87" applyFont="1" applyFill="1" applyBorder="1" applyProtection="1">
      <alignment/>
      <protection hidden="1"/>
    </xf>
    <xf numFmtId="0" fontId="28" fillId="33" borderId="10" xfId="87" applyFont="1" applyFill="1" applyBorder="1" applyProtection="1">
      <alignment/>
      <protection hidden="1"/>
    </xf>
    <xf numFmtId="0" fontId="51" fillId="33" borderId="0" xfId="0" applyFont="1" applyFill="1" applyBorder="1" applyAlignment="1">
      <alignment horizontal="center"/>
    </xf>
    <xf numFmtId="0" fontId="32" fillId="33" borderId="28" xfId="87" applyFont="1" applyFill="1" applyBorder="1" applyProtection="1">
      <alignment/>
      <protection hidden="1"/>
    </xf>
    <xf numFmtId="1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29" xfId="87" applyNumberFormat="1" applyFont="1" applyFill="1" applyBorder="1" applyAlignment="1" applyProtection="1">
      <alignment horizontal="center"/>
      <protection hidden="1"/>
    </xf>
    <xf numFmtId="0" fontId="32" fillId="33" borderId="0" xfId="87" applyFont="1" applyFill="1" applyBorder="1" applyProtection="1">
      <alignment/>
      <protection hidden="1"/>
    </xf>
    <xf numFmtId="0" fontId="29" fillId="33" borderId="12" xfId="87" applyFont="1" applyFill="1" applyBorder="1" applyAlignment="1" applyProtection="1">
      <alignment horizontal="center" vertical="center"/>
      <protection hidden="1"/>
    </xf>
    <xf numFmtId="1" fontId="40" fillId="33" borderId="0" xfId="87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50" fillId="33" borderId="0" xfId="87" applyFont="1" applyFill="1" applyBorder="1" applyAlignment="1" applyProtection="1">
      <alignment/>
      <protection hidden="1"/>
    </xf>
    <xf numFmtId="0" fontId="29" fillId="33" borderId="0" xfId="87" applyFont="1" applyFill="1" applyBorder="1" applyAlignment="1" applyProtection="1">
      <alignment horizontal="center"/>
      <protection hidden="1"/>
    </xf>
    <xf numFmtId="0" fontId="26" fillId="33" borderId="20" xfId="87" applyFont="1" applyFill="1" applyBorder="1" applyProtection="1">
      <alignment/>
      <protection hidden="1"/>
    </xf>
    <xf numFmtId="0" fontId="38" fillId="33" borderId="0" xfId="87" applyFont="1" applyFill="1" applyBorder="1" applyAlignment="1" applyProtection="1">
      <alignment/>
      <protection hidden="1"/>
    </xf>
    <xf numFmtId="0" fontId="38" fillId="33" borderId="25" xfId="87" applyFont="1" applyFill="1" applyBorder="1" applyProtection="1">
      <alignment/>
      <protection hidden="1"/>
    </xf>
    <xf numFmtId="0" fontId="32" fillId="33" borderId="25" xfId="87" applyFont="1" applyFill="1" applyBorder="1" applyProtection="1">
      <alignment/>
      <protection hidden="1"/>
    </xf>
    <xf numFmtId="1" fontId="27" fillId="32" borderId="0" xfId="0" applyNumberFormat="1" applyFont="1" applyFill="1" applyBorder="1" applyAlignment="1">
      <alignment horizontal="left" vertical="center"/>
    </xf>
    <xf numFmtId="0" fontId="0" fillId="33" borderId="25" xfId="0" applyFont="1" applyFill="1" applyBorder="1" applyAlignment="1">
      <alignment/>
    </xf>
    <xf numFmtId="0" fontId="0" fillId="33" borderId="15" xfId="87" applyFont="1" applyFill="1" applyBorder="1" applyProtection="1">
      <alignment/>
      <protection hidden="1"/>
    </xf>
    <xf numFmtId="0" fontId="0" fillId="33" borderId="12" xfId="87" applyFont="1" applyFill="1" applyBorder="1" applyProtection="1">
      <alignment/>
      <protection hidden="1"/>
    </xf>
    <xf numFmtId="0" fontId="0" fillId="33" borderId="12" xfId="87" applyFill="1" applyBorder="1">
      <alignment/>
      <protection/>
    </xf>
    <xf numFmtId="1" fontId="19" fillId="33" borderId="28" xfId="0" applyNumberFormat="1" applyFont="1" applyFill="1" applyBorder="1" applyAlignment="1" applyProtection="1">
      <alignment horizontal="center"/>
      <protection hidden="1"/>
    </xf>
    <xf numFmtId="0" fontId="0" fillId="33" borderId="29" xfId="87" applyFont="1" applyFill="1" applyBorder="1" applyAlignment="1" applyProtection="1">
      <alignment horizontal="left"/>
      <protection hidden="1"/>
    </xf>
    <xf numFmtId="0" fontId="32" fillId="33" borderId="12" xfId="87" applyFont="1" applyFill="1" applyBorder="1" applyAlignment="1" applyProtection="1">
      <alignment horizontal="left"/>
      <protection hidden="1"/>
    </xf>
    <xf numFmtId="0" fontId="32" fillId="33" borderId="15" xfId="87" applyFont="1" applyFill="1" applyBorder="1">
      <alignment/>
      <protection/>
    </xf>
    <xf numFmtId="0" fontId="36" fillId="33" borderId="0" xfId="87" applyFont="1" applyFill="1" applyBorder="1" applyAlignment="1">
      <alignment horizontal="center"/>
      <protection/>
    </xf>
    <xf numFmtId="0" fontId="32" fillId="33" borderId="17" xfId="87" applyFont="1" applyFill="1" applyBorder="1">
      <alignment/>
      <protection/>
    </xf>
    <xf numFmtId="0" fontId="34" fillId="33" borderId="21" xfId="87" applyFont="1" applyFill="1" applyBorder="1" applyAlignment="1" applyProtection="1">
      <alignment horizontal="left"/>
      <protection hidden="1"/>
    </xf>
    <xf numFmtId="0" fontId="34" fillId="33" borderId="10" xfId="87" applyFont="1" applyFill="1" applyBorder="1" applyAlignment="1" applyProtection="1">
      <alignment horizontal="left"/>
      <protection hidden="1"/>
    </xf>
    <xf numFmtId="0" fontId="61" fillId="34" borderId="0" xfId="0" applyFont="1" applyFill="1" applyAlignment="1">
      <alignment horizontal="left"/>
    </xf>
    <xf numFmtId="0" fontId="38" fillId="34" borderId="0" xfId="0" applyFont="1" applyFill="1" applyAlignment="1">
      <alignment horizontal="center"/>
    </xf>
    <xf numFmtId="0" fontId="57" fillId="34" borderId="0" xfId="87" applyFont="1" applyFill="1" applyAlignment="1" applyProtection="1">
      <alignment horizontal="left" wrapText="1"/>
      <protection hidden="1"/>
    </xf>
    <xf numFmtId="0" fontId="19" fillId="34" borderId="0" xfId="87" applyFont="1" applyFill="1" applyProtection="1">
      <alignment/>
      <protection hidden="1"/>
    </xf>
    <xf numFmtId="0" fontId="29" fillId="33" borderId="29" xfId="87" applyFont="1" applyFill="1" applyBorder="1" applyProtection="1">
      <alignment/>
      <protection hidden="1"/>
    </xf>
    <xf numFmtId="0" fontId="34" fillId="33" borderId="0" xfId="0" applyFont="1" applyFill="1" applyAlignment="1">
      <alignment/>
    </xf>
    <xf numFmtId="0" fontId="98" fillId="29" borderId="16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0" fillId="33" borderId="12" xfId="87" applyFont="1" applyFill="1" applyBorder="1">
      <alignment/>
      <protection/>
    </xf>
    <xf numFmtId="1" fontId="19" fillId="33" borderId="25" xfId="0" applyNumberFormat="1" applyFont="1" applyFill="1" applyBorder="1" applyAlignment="1" applyProtection="1">
      <alignment horizontal="center"/>
      <protection hidden="1"/>
    </xf>
    <xf numFmtId="0" fontId="0" fillId="33" borderId="24" xfId="87" applyFill="1" applyBorder="1" applyProtection="1">
      <alignment/>
      <protection hidden="1"/>
    </xf>
    <xf numFmtId="0" fontId="28" fillId="33" borderId="21" xfId="87" applyFont="1" applyFill="1" applyBorder="1" applyProtection="1">
      <alignment/>
      <protection hidden="1"/>
    </xf>
    <xf numFmtId="0" fontId="0" fillId="33" borderId="21" xfId="0" applyFill="1" applyBorder="1" applyAlignment="1">
      <alignment/>
    </xf>
    <xf numFmtId="1" fontId="19" fillId="33" borderId="21" xfId="0" applyNumberFormat="1" applyFont="1" applyFill="1" applyBorder="1" applyAlignment="1" applyProtection="1">
      <alignment horizontal="center"/>
      <protection hidden="1"/>
    </xf>
    <xf numFmtId="0" fontId="19" fillId="33" borderId="15" xfId="87" applyFont="1" applyFill="1" applyBorder="1" applyAlignment="1" applyProtection="1">
      <alignment horizontal="center"/>
      <protection hidden="1"/>
    </xf>
    <xf numFmtId="0" fontId="29" fillId="33" borderId="12" xfId="87" applyFont="1" applyFill="1" applyBorder="1" applyAlignment="1" applyProtection="1">
      <alignment horizontal="center"/>
      <protection hidden="1"/>
    </xf>
    <xf numFmtId="0" fontId="0" fillId="33" borderId="25" xfId="87" applyFont="1" applyFill="1" applyBorder="1" applyAlignment="1" applyProtection="1">
      <alignment horizontal="left"/>
      <protection hidden="1"/>
    </xf>
    <xf numFmtId="1" fontId="19" fillId="33" borderId="37" xfId="87" applyNumberFormat="1" applyFont="1" applyFill="1" applyBorder="1" applyAlignment="1" applyProtection="1">
      <alignment horizontal="center"/>
      <protection hidden="1"/>
    </xf>
    <xf numFmtId="1" fontId="19" fillId="34" borderId="25" xfId="87" applyNumberFormat="1" applyFont="1" applyFill="1" applyBorder="1" applyAlignment="1" applyProtection="1">
      <alignment horizontal="center"/>
      <protection hidden="1"/>
    </xf>
    <xf numFmtId="0" fontId="0" fillId="33" borderId="12" xfId="87" applyFill="1" applyBorder="1" applyAlignment="1" applyProtection="1">
      <alignment horizontal="left"/>
      <protection hidden="1"/>
    </xf>
    <xf numFmtId="0" fontId="0" fillId="34" borderId="15" xfId="87" applyFont="1" applyFill="1" applyBorder="1" applyProtection="1">
      <alignment/>
      <protection hidden="1"/>
    </xf>
    <xf numFmtId="0" fontId="19" fillId="33" borderId="25" xfId="0" applyFont="1" applyFill="1" applyBorder="1" applyAlignment="1">
      <alignment horizontal="left"/>
    </xf>
    <xf numFmtId="0" fontId="0" fillId="33" borderId="25" xfId="0" applyFont="1" applyFill="1" applyBorder="1" applyAlignment="1">
      <alignment/>
    </xf>
    <xf numFmtId="0" fontId="96" fillId="29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14" xfId="87" applyFont="1" applyFill="1" applyBorder="1" applyAlignment="1">
      <alignment horizontal="center"/>
      <protection/>
    </xf>
    <xf numFmtId="0" fontId="46" fillId="33" borderId="10" xfId="0" applyFont="1" applyFill="1" applyBorder="1" applyAlignment="1">
      <alignment horizontal="center"/>
    </xf>
    <xf numFmtId="0" fontId="32" fillId="33" borderId="15" xfId="87" applyFont="1" applyFill="1" applyBorder="1" applyAlignment="1" applyProtection="1">
      <alignment horizontal="left"/>
      <protection hidden="1"/>
    </xf>
    <xf numFmtId="0" fontId="38" fillId="34" borderId="0" xfId="87" applyFont="1" applyFill="1" applyBorder="1" applyAlignment="1" applyProtection="1">
      <alignment horizontal="left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" fontId="19" fillId="34" borderId="10" xfId="87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0" fillId="34" borderId="12" xfId="87" applyFont="1" applyFill="1" applyBorder="1" applyProtection="1">
      <alignment/>
      <protection hidden="1"/>
    </xf>
    <xf numFmtId="0" fontId="0" fillId="33" borderId="0" xfId="0" applyFont="1" applyFill="1" applyBorder="1" applyAlignment="1">
      <alignment/>
    </xf>
    <xf numFmtId="0" fontId="29" fillId="33" borderId="33" xfId="87" applyFont="1" applyFill="1" applyBorder="1">
      <alignment/>
      <protection/>
    </xf>
    <xf numFmtId="0" fontId="0" fillId="33" borderId="12" xfId="87" applyFont="1" applyFill="1" applyBorder="1" applyAlignment="1">
      <alignment horizontal="left"/>
      <protection/>
    </xf>
    <xf numFmtId="0" fontId="63" fillId="33" borderId="14" xfId="0" applyFont="1" applyFill="1" applyBorder="1" applyAlignment="1">
      <alignment horizontal="center"/>
    </xf>
    <xf numFmtId="0" fontId="38" fillId="33" borderId="0" xfId="87" applyFont="1" applyFill="1" applyBorder="1" applyAlignment="1">
      <alignment horizontal="left"/>
      <protection/>
    </xf>
    <xf numFmtId="0" fontId="39" fillId="33" borderId="0" xfId="87" applyFont="1" applyFill="1" applyBorder="1" applyAlignment="1" applyProtection="1">
      <alignment horizontal="left"/>
      <protection hidden="1"/>
    </xf>
    <xf numFmtId="0" fontId="19" fillId="33" borderId="0" xfId="87" applyFont="1" applyFill="1" applyBorder="1" applyAlignment="1" applyProtection="1">
      <alignment/>
      <protection hidden="1"/>
    </xf>
    <xf numFmtId="0" fontId="19" fillId="33" borderId="0" xfId="87" applyFont="1" applyFill="1" applyAlignment="1" applyProtection="1">
      <alignment/>
      <protection hidden="1"/>
    </xf>
    <xf numFmtId="0" fontId="38" fillId="33" borderId="10" xfId="87" applyFont="1" applyFill="1" applyBorder="1" applyProtection="1">
      <alignment/>
      <protection hidden="1"/>
    </xf>
    <xf numFmtId="0" fontId="0" fillId="33" borderId="10" xfId="0" applyFont="1" applyFill="1" applyBorder="1" applyAlignment="1">
      <alignment/>
    </xf>
    <xf numFmtId="0" fontId="38" fillId="33" borderId="12" xfId="87" applyFont="1" applyFill="1" applyBorder="1" applyAlignment="1">
      <alignment horizontal="left"/>
      <protection/>
    </xf>
    <xf numFmtId="0" fontId="39" fillId="33" borderId="15" xfId="87" applyFont="1" applyFill="1" applyBorder="1" applyAlignment="1" applyProtection="1">
      <alignment horizontal="left"/>
      <protection hidden="1"/>
    </xf>
    <xf numFmtId="0" fontId="39" fillId="33" borderId="17" xfId="87" applyFont="1" applyFill="1" applyBorder="1" applyAlignment="1" applyProtection="1">
      <alignment horizontal="left"/>
      <protection hidden="1"/>
    </xf>
    <xf numFmtId="0" fontId="97" fillId="33" borderId="10" xfId="0" applyFont="1" applyFill="1" applyBorder="1" applyAlignment="1">
      <alignment horizontal="left" wrapText="1"/>
    </xf>
    <xf numFmtId="0" fontId="38" fillId="33" borderId="21" xfId="87" applyFont="1" applyFill="1" applyBorder="1" applyAlignment="1" applyProtection="1">
      <alignment horizontal="left"/>
      <protection hidden="1"/>
    </xf>
    <xf numFmtId="0" fontId="34" fillId="33" borderId="12" xfId="87" applyFont="1" applyFill="1" applyBorder="1" applyAlignment="1" applyProtection="1">
      <alignment horizontal="center"/>
      <protection hidden="1"/>
    </xf>
    <xf numFmtId="0" fontId="34" fillId="33" borderId="10" xfId="87" applyFont="1" applyFill="1" applyBorder="1" applyAlignment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33" borderId="29" xfId="87" applyFont="1" applyFill="1" applyBorder="1" applyProtection="1">
      <alignment/>
      <protection hidden="1"/>
    </xf>
    <xf numFmtId="0" fontId="38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38" fillId="34" borderId="10" xfId="87" applyFont="1" applyFill="1" applyBorder="1" applyAlignment="1" applyProtection="1">
      <alignment horizontal="left"/>
      <protection hidden="1"/>
    </xf>
    <xf numFmtId="0" fontId="0" fillId="34" borderId="25" xfId="87" applyFont="1" applyFill="1" applyBorder="1" applyProtection="1">
      <alignment/>
      <protection hidden="1"/>
    </xf>
    <xf numFmtId="0" fontId="0" fillId="33" borderId="38" xfId="0" applyFont="1" applyFill="1" applyBorder="1" applyAlignment="1">
      <alignment/>
    </xf>
    <xf numFmtId="1" fontId="19" fillId="33" borderId="29" xfId="0" applyNumberFormat="1" applyFont="1" applyFill="1" applyBorder="1" applyAlignment="1" applyProtection="1">
      <alignment horizontal="center"/>
      <protection hidden="1"/>
    </xf>
    <xf numFmtId="0" fontId="44" fillId="34" borderId="0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0" fillId="34" borderId="15" xfId="87" applyFont="1" applyFill="1" applyBorder="1" applyProtection="1">
      <alignment/>
      <protection hidden="1"/>
    </xf>
    <xf numFmtId="1" fontId="19" fillId="34" borderId="10" xfId="87" applyNumberFormat="1" applyFont="1" applyFill="1" applyBorder="1" applyAlignment="1" applyProtection="1">
      <alignment horizontal="center"/>
      <protection hidden="1"/>
    </xf>
    <xf numFmtId="0" fontId="69" fillId="33" borderId="10" xfId="87" applyFont="1" applyFill="1" applyBorder="1" applyAlignment="1" applyProtection="1">
      <alignment horizontal="left"/>
      <protection hidden="1"/>
    </xf>
    <xf numFmtId="0" fontId="100" fillId="33" borderId="13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101" fillId="34" borderId="0" xfId="0" applyFont="1" applyFill="1" applyAlignment="1">
      <alignment horizontal="center"/>
    </xf>
    <xf numFmtId="0" fontId="101" fillId="33" borderId="0" xfId="0" applyFont="1" applyFill="1" applyAlignment="1">
      <alignment horizontal="left" wrapText="1"/>
    </xf>
    <xf numFmtId="0" fontId="101" fillId="33" borderId="0" xfId="0" applyFont="1" applyFill="1" applyAlignment="1">
      <alignment horizontal="center"/>
    </xf>
    <xf numFmtId="0" fontId="34" fillId="34" borderId="0" xfId="87" applyFont="1" applyFill="1" applyAlignment="1">
      <alignment horizontal="left"/>
      <protection/>
    </xf>
    <xf numFmtId="0" fontId="0" fillId="34" borderId="0" xfId="0" applyFill="1" applyAlignment="1">
      <alignment/>
    </xf>
    <xf numFmtId="0" fontId="72" fillId="33" borderId="3" xfId="63" applyFont="1" applyFill="1" applyAlignment="1">
      <alignment horizontal="left" wrapText="1"/>
    </xf>
    <xf numFmtId="0" fontId="72" fillId="33" borderId="3" xfId="63" applyFont="1" applyFill="1" applyAlignment="1">
      <alignment horizontal="center"/>
    </xf>
    <xf numFmtId="0" fontId="72" fillId="34" borderId="3" xfId="63" applyFont="1" applyFill="1" applyAlignment="1">
      <alignment horizontal="center"/>
    </xf>
    <xf numFmtId="0" fontId="19" fillId="36" borderId="0" xfId="88" applyFont="1" applyFill="1" applyAlignment="1" applyProtection="1">
      <alignment/>
      <protection hidden="1"/>
    </xf>
    <xf numFmtId="0" fontId="21" fillId="37" borderId="0" xfId="0" applyFont="1" applyFill="1" applyAlignment="1">
      <alignment horizontal="center"/>
    </xf>
    <xf numFmtId="0" fontId="21" fillId="37" borderId="0" xfId="0" applyFont="1" applyFill="1" applyBorder="1" applyAlignment="1">
      <alignment horizontal="center"/>
    </xf>
    <xf numFmtId="0" fontId="19" fillId="37" borderId="0" xfId="0" applyFont="1" applyFill="1" applyAlignment="1">
      <alignment horizontal="left" vertical="top"/>
    </xf>
    <xf numFmtId="0" fontId="19" fillId="37" borderId="0" xfId="88" applyFont="1" applyFill="1" applyAlignment="1" applyProtection="1">
      <alignment/>
      <protection hidden="1"/>
    </xf>
    <xf numFmtId="0" fontId="97" fillId="36" borderId="0" xfId="88" applyFont="1" applyFill="1" applyAlignment="1">
      <alignment horizontal="left"/>
      <protection/>
    </xf>
    <xf numFmtId="0" fontId="102" fillId="36" borderId="0" xfId="0" applyFont="1" applyFill="1" applyAlignment="1">
      <alignment/>
    </xf>
    <xf numFmtId="0" fontId="103" fillId="36" borderId="0" xfId="88" applyFont="1" applyFill="1" applyAlignment="1" applyProtection="1">
      <alignment/>
      <protection hidden="1"/>
    </xf>
    <xf numFmtId="0" fontId="34" fillId="36" borderId="0" xfId="88" applyFont="1" applyFill="1" applyAlignment="1">
      <alignment horizontal="left"/>
      <protection/>
    </xf>
    <xf numFmtId="0" fontId="0" fillId="36" borderId="0" xfId="0" applyFill="1" applyAlignment="1">
      <alignment/>
    </xf>
    <xf numFmtId="0" fontId="19" fillId="36" borderId="0" xfId="0" applyFont="1" applyFill="1" applyAlignment="1">
      <alignment horizontal="left" vertical="top"/>
    </xf>
    <xf numFmtId="0" fontId="20" fillId="36" borderId="0" xfId="0" applyFont="1" applyFill="1" applyAlignment="1">
      <alignment horizontal="center" wrapText="1"/>
    </xf>
    <xf numFmtId="0" fontId="29" fillId="34" borderId="0" xfId="87" applyFont="1" applyFill="1" applyBorder="1" applyAlignment="1" applyProtection="1">
      <alignment horizontal="left"/>
      <protection hidden="1"/>
    </xf>
    <xf numFmtId="0" fontId="44" fillId="34" borderId="0" xfId="87" applyFont="1" applyFill="1" applyBorder="1" applyAlignment="1" applyProtection="1">
      <alignment horizontal="center"/>
      <protection hidden="1"/>
    </xf>
    <xf numFmtId="0" fontId="104" fillId="33" borderId="14" xfId="87" applyFont="1" applyFill="1" applyBorder="1" applyAlignment="1">
      <alignment horizontal="center"/>
      <protection/>
    </xf>
    <xf numFmtId="0" fontId="38" fillId="33" borderId="25" xfId="87" applyFont="1" applyFill="1" applyBorder="1" applyAlignment="1">
      <alignment horizontal="left"/>
      <protection/>
    </xf>
    <xf numFmtId="0" fontId="0" fillId="33" borderId="10" xfId="0" applyFont="1" applyFill="1" applyBorder="1" applyAlignment="1">
      <alignment/>
    </xf>
    <xf numFmtId="0" fontId="104" fillId="33" borderId="14" xfId="88" applyFont="1" applyFill="1" applyBorder="1" applyAlignment="1">
      <alignment horizontal="center"/>
      <protection/>
    </xf>
    <xf numFmtId="0" fontId="29" fillId="29" borderId="11" xfId="91" applyFont="1" applyFill="1" applyBorder="1" applyAlignment="1">
      <alignment horizontal="center" vertical="center"/>
      <protection/>
    </xf>
    <xf numFmtId="0" fontId="30" fillId="29" borderId="11" xfId="91" applyFont="1" applyFill="1" applyBorder="1" applyAlignment="1">
      <alignment horizontal="center" vertical="center"/>
      <protection/>
    </xf>
    <xf numFmtId="0" fontId="0" fillId="33" borderId="12" xfId="88" applyFont="1" applyFill="1" applyBorder="1" applyProtection="1">
      <alignment/>
      <protection hidden="1"/>
    </xf>
    <xf numFmtId="0" fontId="30" fillId="33" borderId="13" xfId="91" applyFont="1" applyFill="1" applyBorder="1" applyAlignment="1">
      <alignment horizontal="center"/>
      <protection/>
    </xf>
    <xf numFmtId="0" fontId="29" fillId="33" borderId="14" xfId="88" applyFont="1" applyFill="1" applyBorder="1">
      <alignment/>
      <protection/>
    </xf>
    <xf numFmtId="0" fontId="29" fillId="33" borderId="14" xfId="88" applyFont="1" applyFill="1" applyBorder="1" applyAlignment="1">
      <alignment horizontal="center"/>
      <protection/>
    </xf>
    <xf numFmtId="0" fontId="36" fillId="33" borderId="14" xfId="88" applyFont="1" applyFill="1" applyBorder="1" applyAlignment="1">
      <alignment horizontal="center"/>
      <protection/>
    </xf>
    <xf numFmtId="0" fontId="38" fillId="33" borderId="17" xfId="88" applyFont="1" applyFill="1" applyBorder="1" applyAlignment="1">
      <alignment horizontal="left"/>
      <protection/>
    </xf>
    <xf numFmtId="0" fontId="0" fillId="33" borderId="12" xfId="88" applyFont="1" applyFill="1" applyBorder="1">
      <alignment/>
      <protection/>
    </xf>
    <xf numFmtId="0" fontId="0" fillId="33" borderId="12" xfId="88" applyFont="1" applyFill="1" applyBorder="1" applyAlignment="1">
      <alignment horizontal="left"/>
      <protection/>
    </xf>
    <xf numFmtId="0" fontId="32" fillId="33" borderId="12" xfId="88" applyFont="1" applyFill="1" applyBorder="1">
      <alignment/>
      <protection/>
    </xf>
    <xf numFmtId="0" fontId="32" fillId="33" borderId="28" xfId="88" applyFont="1" applyFill="1" applyBorder="1">
      <alignment/>
      <protection/>
    </xf>
    <xf numFmtId="0" fontId="34" fillId="33" borderId="21" xfId="88" applyFont="1" applyFill="1" applyBorder="1" applyAlignment="1" applyProtection="1">
      <alignment horizontal="left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>
      <alignment horizontal="center"/>
    </xf>
    <xf numFmtId="1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0" fontId="38" fillId="34" borderId="0" xfId="87" applyFont="1" applyFill="1" applyBorder="1" applyAlignment="1" applyProtection="1">
      <alignment horizontal="left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34" fillId="34" borderId="0" xfId="87" applyFont="1" applyFill="1" applyBorder="1" applyAlignment="1" applyProtection="1">
      <alignment horizontal="left"/>
      <protection hidden="1"/>
    </xf>
    <xf numFmtId="0" fontId="34" fillId="33" borderId="0" xfId="87" applyFont="1" applyFill="1" applyBorder="1" applyAlignment="1" applyProtection="1">
      <alignment horizontal="left" wrapText="1"/>
      <protection hidden="1"/>
    </xf>
    <xf numFmtId="0" fontId="0" fillId="0" borderId="0" xfId="0" applyBorder="1" applyAlignment="1">
      <alignment wrapText="1"/>
    </xf>
    <xf numFmtId="0" fontId="34" fillId="33" borderId="0" xfId="0" applyFont="1" applyFill="1" applyBorder="1" applyAlignment="1">
      <alignment horizontal="left" wrapText="1"/>
    </xf>
    <xf numFmtId="0" fontId="34" fillId="33" borderId="0" xfId="88" applyFont="1" applyFill="1" applyBorder="1" applyAlignment="1">
      <alignment horizontal="left"/>
      <protection/>
    </xf>
    <xf numFmtId="0" fontId="69" fillId="33" borderId="0" xfId="88" applyFont="1" applyFill="1" applyBorder="1" applyAlignment="1" applyProtection="1">
      <alignment horizontal="left"/>
      <protection hidden="1"/>
    </xf>
    <xf numFmtId="0" fontId="34" fillId="33" borderId="0" xfId="88" applyFont="1" applyFill="1" applyBorder="1" applyAlignment="1" applyProtection="1">
      <alignment horizontal="left"/>
      <protection hidden="1"/>
    </xf>
    <xf numFmtId="0" fontId="39" fillId="33" borderId="0" xfId="88" applyFont="1" applyFill="1" applyBorder="1" applyAlignment="1" applyProtection="1">
      <alignment horizontal="center"/>
      <protection hidden="1"/>
    </xf>
    <xf numFmtId="0" fontId="19" fillId="33" borderId="0" xfId="88" applyFont="1" applyFill="1" applyBorder="1" applyAlignment="1" applyProtection="1">
      <alignment/>
      <protection hidden="1"/>
    </xf>
    <xf numFmtId="0" fontId="19" fillId="33" borderId="0" xfId="88" applyFont="1" applyFill="1" applyBorder="1" applyProtection="1">
      <alignment/>
      <protection hidden="1"/>
    </xf>
    <xf numFmtId="0" fontId="32" fillId="33" borderId="15" xfId="88" applyFont="1" applyFill="1" applyBorder="1">
      <alignment/>
      <protection/>
    </xf>
    <xf numFmtId="1" fontId="19" fillId="34" borderId="0" xfId="88" applyNumberFormat="1" applyFont="1" applyFill="1" applyBorder="1" applyAlignment="1" applyProtection="1">
      <alignment horizontal="center"/>
      <protection hidden="1"/>
    </xf>
    <xf numFmtId="0" fontId="32" fillId="33" borderId="24" xfId="88" applyFont="1" applyFill="1" applyBorder="1">
      <alignment/>
      <protection/>
    </xf>
    <xf numFmtId="0" fontId="32" fillId="33" borderId="17" xfId="88" applyFont="1" applyFill="1" applyBorder="1">
      <alignment/>
      <protection/>
    </xf>
    <xf numFmtId="0" fontId="32" fillId="33" borderId="11" xfId="88" applyFont="1" applyFill="1" applyBorder="1">
      <alignment/>
      <protection/>
    </xf>
    <xf numFmtId="0" fontId="0" fillId="33" borderId="15" xfId="88" applyFont="1" applyFill="1" applyBorder="1">
      <alignment/>
      <protection/>
    </xf>
    <xf numFmtId="0" fontId="0" fillId="33" borderId="12" xfId="88" applyFill="1" applyBorder="1" applyProtection="1">
      <alignment/>
      <protection hidden="1"/>
    </xf>
    <xf numFmtId="0" fontId="0" fillId="33" borderId="28" xfId="88" applyFont="1" applyFill="1" applyBorder="1" applyProtection="1">
      <alignment/>
      <protection hidden="1"/>
    </xf>
    <xf numFmtId="0" fontId="0" fillId="33" borderId="12" xfId="88" applyFont="1" applyFill="1" applyBorder="1" applyProtection="1">
      <alignment/>
      <protection hidden="1"/>
    </xf>
    <xf numFmtId="0" fontId="34" fillId="34" borderId="0" xfId="0" applyFont="1" applyFill="1" applyBorder="1" applyAlignment="1">
      <alignment horizontal="left"/>
    </xf>
    <xf numFmtId="0" fontId="36" fillId="33" borderId="30" xfId="0" applyFont="1" applyFill="1" applyBorder="1" applyAlignment="1">
      <alignment horizontal="center"/>
    </xf>
    <xf numFmtId="0" fontId="31" fillId="35" borderId="35" xfId="87" applyFont="1" applyFill="1" applyBorder="1" applyAlignment="1" applyProtection="1">
      <alignment horizontal="left" vertical="center"/>
      <protection hidden="1"/>
    </xf>
    <xf numFmtId="0" fontId="70" fillId="35" borderId="35" xfId="87" applyFont="1" applyFill="1" applyBorder="1" applyAlignment="1" applyProtection="1">
      <alignment horizontal="center"/>
      <protection hidden="1"/>
    </xf>
    <xf numFmtId="0" fontId="69" fillId="33" borderId="10" xfId="88" applyFont="1" applyFill="1" applyBorder="1" applyAlignment="1" applyProtection="1">
      <alignment horizontal="left"/>
      <protection hidden="1"/>
    </xf>
    <xf numFmtId="0" fontId="34" fillId="33" borderId="10" xfId="87" applyFont="1" applyFill="1" applyBorder="1" applyAlignment="1" applyProtection="1">
      <alignment horizontal="left" wrapText="1"/>
      <protection hidden="1"/>
    </xf>
    <xf numFmtId="0" fontId="44" fillId="33" borderId="12" xfId="0" applyFont="1" applyFill="1" applyBorder="1" applyAlignment="1">
      <alignment horizontal="center" vertical="center"/>
    </xf>
    <xf numFmtId="0" fontId="31" fillId="33" borderId="13" xfId="88" applyFont="1" applyFill="1" applyBorder="1" applyProtection="1">
      <alignment/>
      <protection hidden="1"/>
    </xf>
    <xf numFmtId="0" fontId="32" fillId="33" borderId="15" xfId="88" applyFont="1" applyFill="1" applyBorder="1" applyProtection="1">
      <alignment/>
      <protection hidden="1"/>
    </xf>
    <xf numFmtId="0" fontId="31" fillId="33" borderId="13" xfId="88" applyFont="1" applyFill="1" applyBorder="1" applyAlignment="1" applyProtection="1">
      <alignment horizontal="center"/>
      <protection hidden="1"/>
    </xf>
    <xf numFmtId="0" fontId="0" fillId="33" borderId="15" xfId="88" applyFont="1" applyFill="1" applyBorder="1" applyProtection="1">
      <alignment/>
      <protection hidden="1"/>
    </xf>
    <xf numFmtId="0" fontId="45" fillId="33" borderId="13" xfId="88" applyFont="1" applyFill="1" applyBorder="1" applyAlignment="1" applyProtection="1">
      <alignment horizontal="center"/>
      <protection hidden="1"/>
    </xf>
    <xf numFmtId="0" fontId="98" fillId="33" borderId="13" xfId="0" applyFont="1" applyFill="1" applyBorder="1" applyAlignment="1">
      <alignment horizontal="center"/>
    </xf>
    <xf numFmtId="0" fontId="104" fillId="33" borderId="13" xfId="0" applyFont="1" applyFill="1" applyBorder="1" applyAlignment="1">
      <alignment horizontal="center"/>
    </xf>
    <xf numFmtId="0" fontId="104" fillId="33" borderId="13" xfId="88" applyFont="1" applyFill="1" applyBorder="1" applyAlignment="1" applyProtection="1">
      <alignment horizontal="center"/>
      <protection hidden="1"/>
    </xf>
    <xf numFmtId="0" fontId="39" fillId="33" borderId="20" xfId="88" applyFont="1" applyFill="1" applyBorder="1" applyProtection="1">
      <alignment/>
      <protection hidden="1"/>
    </xf>
    <xf numFmtId="0" fontId="0" fillId="33" borderId="17" xfId="88" applyFont="1" applyFill="1" applyBorder="1" applyProtection="1">
      <alignment/>
      <protection hidden="1"/>
    </xf>
    <xf numFmtId="0" fontId="0" fillId="33" borderId="0" xfId="88" applyFont="1" applyFill="1" applyBorder="1" applyProtection="1">
      <alignment/>
      <protection hidden="1"/>
    </xf>
    <xf numFmtId="0" fontId="27" fillId="33" borderId="0" xfId="88" applyFont="1" applyFill="1" applyBorder="1" applyAlignment="1">
      <alignment horizontal="left"/>
      <protection/>
    </xf>
    <xf numFmtId="0" fontId="39" fillId="33" borderId="0" xfId="88" applyFont="1" applyFill="1" applyBorder="1" applyAlignment="1" applyProtection="1">
      <alignment horizontal="left"/>
      <protection hidden="1"/>
    </xf>
    <xf numFmtId="0" fontId="27" fillId="34" borderId="10" xfId="87" applyFont="1" applyFill="1" applyBorder="1" applyAlignment="1">
      <alignment horizontal="left"/>
      <protection/>
    </xf>
    <xf numFmtId="0" fontId="0" fillId="34" borderId="35" xfId="87" applyFont="1" applyFill="1" applyBorder="1" applyProtection="1">
      <alignment/>
      <protection hidden="1"/>
    </xf>
    <xf numFmtId="1" fontId="38" fillId="33" borderId="0" xfId="0" applyNumberFormat="1" applyFont="1" applyFill="1" applyBorder="1" applyAlignment="1">
      <alignment horizontal="left"/>
    </xf>
    <xf numFmtId="0" fontId="19" fillId="33" borderId="0" xfId="88" applyFont="1" applyFill="1" applyAlignment="1" applyProtection="1">
      <alignment/>
      <protection hidden="1"/>
    </xf>
    <xf numFmtId="0" fontId="0" fillId="33" borderId="0" xfId="0" applyFill="1" applyBorder="1" applyAlignment="1">
      <alignment/>
    </xf>
    <xf numFmtId="1" fontId="29" fillId="33" borderId="0" xfId="88" applyNumberFormat="1" applyFont="1" applyFill="1" applyBorder="1" applyAlignment="1" applyProtection="1">
      <alignment horizontal="left"/>
      <protection hidden="1"/>
    </xf>
    <xf numFmtId="0" fontId="0" fillId="33" borderId="0" xfId="88" applyFill="1">
      <alignment/>
      <protection/>
    </xf>
    <xf numFmtId="0" fontId="19" fillId="34" borderId="0" xfId="88" applyFont="1" applyFill="1">
      <alignment/>
      <protection/>
    </xf>
    <xf numFmtId="0" fontId="19" fillId="34" borderId="0" xfId="88" applyFont="1" applyFill="1" applyAlignment="1" applyProtection="1">
      <alignment/>
      <protection hidden="1"/>
    </xf>
    <xf numFmtId="0" fontId="19" fillId="34" borderId="0" xfId="88" applyFont="1" applyFill="1" applyProtection="1">
      <alignment/>
      <protection hidden="1"/>
    </xf>
    <xf numFmtId="0" fontId="19" fillId="34" borderId="0" xfId="88" applyFont="1" applyFill="1" applyBorder="1" applyAlignment="1" applyProtection="1">
      <alignment/>
      <protection hidden="1"/>
    </xf>
    <xf numFmtId="0" fontId="38" fillId="33" borderId="0" xfId="88" applyFont="1" applyFill="1">
      <alignment/>
      <protection/>
    </xf>
    <xf numFmtId="0" fontId="19" fillId="33" borderId="0" xfId="88" applyFont="1" applyFill="1" applyAlignment="1">
      <alignment/>
      <protection/>
    </xf>
    <xf numFmtId="0" fontId="21" fillId="33" borderId="0" xfId="88" applyFont="1" applyFill="1" applyAlignment="1">
      <alignment horizontal="left"/>
      <protection/>
    </xf>
    <xf numFmtId="0" fontId="105" fillId="37" borderId="39" xfId="88" applyFont="1" applyFill="1" applyBorder="1" applyAlignment="1">
      <alignment horizontal="left"/>
      <protection/>
    </xf>
    <xf numFmtId="0" fontId="106" fillId="37" borderId="40" xfId="88" applyFont="1" applyFill="1" applyBorder="1" applyAlignment="1">
      <alignment horizontal="center"/>
      <protection/>
    </xf>
    <xf numFmtId="0" fontId="107" fillId="37" borderId="40" xfId="88" applyFont="1" applyFill="1" applyBorder="1">
      <alignment/>
      <protection/>
    </xf>
    <xf numFmtId="0" fontId="108" fillId="37" borderId="41" xfId="88" applyFont="1" applyFill="1" applyBorder="1">
      <alignment/>
      <protection/>
    </xf>
    <xf numFmtId="0" fontId="38" fillId="33" borderId="0" xfId="88" applyFont="1" applyFill="1" applyBorder="1" applyAlignment="1">
      <alignment horizontal="left"/>
      <protection/>
    </xf>
    <xf numFmtId="0" fontId="19" fillId="33" borderId="42" xfId="88" applyFont="1" applyFill="1" applyBorder="1">
      <alignment/>
      <protection/>
    </xf>
    <xf numFmtId="0" fontId="36" fillId="33" borderId="0" xfId="88" applyFont="1" applyFill="1" applyAlignment="1">
      <alignment/>
      <protection/>
    </xf>
    <xf numFmtId="0" fontId="0" fillId="33" borderId="0" xfId="88" applyFont="1" applyFill="1" applyAlignment="1">
      <alignment wrapText="1"/>
      <protection/>
    </xf>
    <xf numFmtId="0" fontId="0" fillId="33" borderId="43" xfId="88" applyFont="1" applyFill="1" applyBorder="1" applyAlignment="1">
      <alignment wrapText="1"/>
      <protection/>
    </xf>
    <xf numFmtId="0" fontId="19" fillId="33" borderId="0" xfId="88" applyFont="1" applyFill="1" applyAlignment="1">
      <alignment/>
      <protection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1" fontId="19" fillId="34" borderId="0" xfId="88" applyNumberFormat="1" applyFont="1" applyFill="1" applyBorder="1" applyAlignment="1" applyProtection="1">
      <alignment horizontal="center"/>
      <protection hidden="1"/>
    </xf>
    <xf numFmtId="1" fontId="38" fillId="33" borderId="21" xfId="0" applyNumberFormat="1" applyFont="1" applyFill="1" applyBorder="1" applyAlignment="1">
      <alignment horizontal="left"/>
    </xf>
    <xf numFmtId="1" fontId="19" fillId="33" borderId="15" xfId="88" applyNumberFormat="1" applyFont="1" applyFill="1" applyBorder="1" applyAlignment="1" applyProtection="1">
      <alignment horizontal="center"/>
      <protection hidden="1"/>
    </xf>
    <xf numFmtId="1" fontId="19" fillId="33" borderId="17" xfId="88" applyNumberFormat="1" applyFont="1" applyFill="1" applyBorder="1" applyAlignment="1" applyProtection="1">
      <alignment horizontal="center"/>
      <protection hidden="1"/>
    </xf>
    <xf numFmtId="0" fontId="0" fillId="33" borderId="24" xfId="88" applyFont="1" applyFill="1" applyBorder="1">
      <alignment/>
      <protection/>
    </xf>
    <xf numFmtId="0" fontId="0" fillId="33" borderId="15" xfId="88" applyFont="1" applyFill="1" applyBorder="1">
      <alignment/>
      <protection/>
    </xf>
    <xf numFmtId="0" fontId="0" fillId="33" borderId="15" xfId="88" applyFont="1" applyFill="1" applyBorder="1">
      <alignment/>
      <protection/>
    </xf>
    <xf numFmtId="0" fontId="0" fillId="33" borderId="17" xfId="88" applyFont="1" applyFill="1" applyBorder="1">
      <alignment/>
      <protection/>
    </xf>
    <xf numFmtId="0" fontId="38" fillId="33" borderId="0" xfId="88" applyFont="1" applyFill="1" applyBorder="1" applyAlignment="1" applyProtection="1">
      <alignment horizontal="left"/>
      <protection hidden="1"/>
    </xf>
    <xf numFmtId="0" fontId="0" fillId="33" borderId="24" xfId="88" applyFont="1" applyFill="1" applyBorder="1" applyProtection="1">
      <alignment/>
      <protection hidden="1"/>
    </xf>
    <xf numFmtId="0" fontId="0" fillId="33" borderId="12" xfId="88" applyFont="1" applyFill="1" applyBorder="1" applyAlignment="1" applyProtection="1">
      <alignment horizontal="left"/>
      <protection hidden="1"/>
    </xf>
    <xf numFmtId="0" fontId="104" fillId="33" borderId="0" xfId="88" applyFont="1" applyFill="1" applyBorder="1" applyAlignment="1">
      <alignment horizontal="center"/>
      <protection/>
    </xf>
    <xf numFmtId="0" fontId="0" fillId="33" borderId="15" xfId="88" applyFont="1" applyFill="1" applyBorder="1" applyAlignment="1">
      <alignment horizontal="left"/>
      <protection/>
    </xf>
    <xf numFmtId="1" fontId="19" fillId="34" borderId="12" xfId="88" applyNumberFormat="1" applyFont="1" applyFill="1" applyBorder="1" applyAlignment="1" applyProtection="1">
      <alignment horizontal="center"/>
      <protection hidden="1"/>
    </xf>
    <xf numFmtId="1" fontId="19" fillId="34" borderId="0" xfId="88" applyNumberFormat="1" applyFont="1" applyFill="1" applyBorder="1" applyAlignment="1" applyProtection="1">
      <alignment horizontal="center"/>
      <protection hidden="1"/>
    </xf>
    <xf numFmtId="0" fontId="38" fillId="34" borderId="0" xfId="87" applyFont="1" applyFill="1" applyBorder="1" applyAlignment="1" applyProtection="1">
      <alignment horizontal="left"/>
      <protection hidden="1"/>
    </xf>
    <xf numFmtId="0" fontId="34" fillId="34" borderId="0" xfId="87" applyFont="1" applyFill="1" applyBorder="1" applyAlignment="1" applyProtection="1">
      <alignment horizontal="left"/>
      <protection hidden="1"/>
    </xf>
    <xf numFmtId="0" fontId="0" fillId="34" borderId="17" xfId="87" applyFont="1" applyFill="1" applyBorder="1" applyProtection="1">
      <alignment/>
      <protection hidden="1"/>
    </xf>
    <xf numFmtId="0" fontId="0" fillId="33" borderId="15" xfId="88" applyFont="1" applyFill="1" applyBorder="1" applyProtection="1">
      <alignment/>
      <protection hidden="1"/>
    </xf>
    <xf numFmtId="0" fontId="0" fillId="33" borderId="29" xfId="88" applyFont="1" applyFill="1" applyBorder="1" applyProtection="1">
      <alignment/>
      <protection hidden="1"/>
    </xf>
    <xf numFmtId="0" fontId="29" fillId="33" borderId="15" xfId="88" applyFont="1" applyFill="1" applyBorder="1" applyAlignment="1" applyProtection="1">
      <alignment horizontal="center"/>
      <protection hidden="1"/>
    </xf>
    <xf numFmtId="0" fontId="29" fillId="33" borderId="15" xfId="88" applyFont="1" applyFill="1" applyBorder="1" applyProtection="1">
      <alignment/>
      <protection hidden="1"/>
    </xf>
    <xf numFmtId="0" fontId="38" fillId="33" borderId="0" xfId="88" applyFont="1" applyFill="1" applyBorder="1" applyProtection="1">
      <alignment/>
      <protection hidden="1"/>
    </xf>
    <xf numFmtId="1" fontId="47" fillId="34" borderId="10" xfId="0" applyNumberFormat="1" applyFont="1" applyFill="1" applyBorder="1" applyAlignment="1">
      <alignment horizontal="center"/>
    </xf>
    <xf numFmtId="0" fontId="0" fillId="33" borderId="12" xfId="88" applyFont="1" applyFill="1" applyBorder="1">
      <alignment/>
      <protection/>
    </xf>
    <xf numFmtId="0" fontId="29" fillId="33" borderId="13" xfId="88" applyFont="1" applyFill="1" applyBorder="1" applyProtection="1">
      <alignment/>
      <protection hidden="1"/>
    </xf>
    <xf numFmtId="0" fontId="29" fillId="33" borderId="13" xfId="88" applyFont="1" applyFill="1" applyBorder="1" applyAlignment="1" applyProtection="1">
      <alignment horizontal="center"/>
      <protection hidden="1"/>
    </xf>
    <xf numFmtId="0" fontId="0" fillId="33" borderId="15" xfId="88" applyFill="1" applyBorder="1" applyProtection="1">
      <alignment/>
      <protection hidden="1"/>
    </xf>
    <xf numFmtId="0" fontId="38" fillId="33" borderId="19" xfId="88" applyFont="1" applyFill="1" applyBorder="1" applyProtection="1">
      <alignment/>
      <protection hidden="1"/>
    </xf>
    <xf numFmtId="0" fontId="0" fillId="34" borderId="0" xfId="0" applyFill="1" applyBorder="1" applyAlignment="1">
      <alignment/>
    </xf>
    <xf numFmtId="1" fontId="38" fillId="33" borderId="10" xfId="0" applyNumberFormat="1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15" xfId="88" applyFill="1" applyBorder="1">
      <alignment/>
      <protection/>
    </xf>
    <xf numFmtId="0" fontId="0" fillId="33" borderId="0" xfId="88" applyFont="1" applyFill="1" applyBorder="1">
      <alignment/>
      <protection/>
    </xf>
    <xf numFmtId="0" fontId="104" fillId="33" borderId="14" xfId="0" applyFont="1" applyFill="1" applyBorder="1" applyAlignment="1">
      <alignment horizontal="center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38" fillId="29" borderId="18" xfId="0" applyFont="1" applyFill="1" applyBorder="1" applyAlignment="1">
      <alignment horizontal="center"/>
    </xf>
    <xf numFmtId="1" fontId="19" fillId="34" borderId="17" xfId="87" applyNumberFormat="1" applyFont="1" applyFill="1" applyBorder="1" applyAlignment="1" applyProtection="1">
      <alignment horizontal="center"/>
      <protection hidden="1"/>
    </xf>
    <xf numFmtId="0" fontId="0" fillId="33" borderId="28" xfId="0" applyFont="1" applyFill="1" applyBorder="1" applyAlignment="1">
      <alignment/>
    </xf>
    <xf numFmtId="0" fontId="0" fillId="33" borderId="17" xfId="88" applyFill="1" applyBorder="1">
      <alignment/>
      <protection/>
    </xf>
    <xf numFmtId="0" fontId="29" fillId="33" borderId="14" xfId="88" applyFont="1" applyFill="1" applyBorder="1" applyAlignment="1" applyProtection="1">
      <alignment horizontal="left"/>
      <protection hidden="1"/>
    </xf>
    <xf numFmtId="0" fontId="29" fillId="33" borderId="14" xfId="88" applyFont="1" applyFill="1" applyBorder="1" applyAlignment="1" applyProtection="1">
      <alignment horizontal="center"/>
      <protection hidden="1"/>
    </xf>
    <xf numFmtId="0" fontId="0" fillId="33" borderId="15" xfId="88" applyFont="1" applyFill="1" applyBorder="1" applyProtection="1">
      <alignment/>
      <protection hidden="1"/>
    </xf>
    <xf numFmtId="0" fontId="29" fillId="33" borderId="12" xfId="88" applyFont="1" applyFill="1" applyBorder="1" applyAlignment="1" applyProtection="1">
      <alignment horizontal="center"/>
      <protection hidden="1"/>
    </xf>
    <xf numFmtId="0" fontId="44" fillId="33" borderId="12" xfId="88" applyFont="1" applyFill="1" applyBorder="1" applyAlignment="1" applyProtection="1">
      <alignment horizontal="center"/>
      <protection hidden="1"/>
    </xf>
    <xf numFmtId="0" fontId="33" fillId="33" borderId="12" xfId="88" applyFont="1" applyFill="1" applyBorder="1" applyAlignment="1">
      <alignment horizontal="center"/>
      <protection/>
    </xf>
    <xf numFmtId="1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1" fontId="19" fillId="34" borderId="10" xfId="87" applyNumberFormat="1" applyFont="1" applyFill="1" applyBorder="1" applyAlignment="1" applyProtection="1">
      <alignment horizontal="center"/>
      <protection hidden="1"/>
    </xf>
    <xf numFmtId="1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38" fillId="34" borderId="0" xfId="87" applyFont="1" applyFill="1" applyBorder="1" applyAlignment="1" applyProtection="1">
      <alignment horizontal="left"/>
      <protection hidden="1"/>
    </xf>
    <xf numFmtId="0" fontId="97" fillId="33" borderId="0" xfId="0" applyFont="1" applyFill="1" applyBorder="1" applyAlignment="1">
      <alignment horizontal="left" wrapText="1"/>
    </xf>
    <xf numFmtId="0" fontId="34" fillId="34" borderId="0" xfId="0" applyFont="1" applyFill="1" applyBorder="1" applyAlignment="1">
      <alignment horizontal="left"/>
    </xf>
    <xf numFmtId="0" fontId="32" fillId="33" borderId="17" xfId="88" applyFont="1" applyFill="1" applyBorder="1" applyProtection="1">
      <alignment/>
      <protection hidden="1"/>
    </xf>
    <xf numFmtId="0" fontId="29" fillId="34" borderId="12" xfId="88" applyFont="1" applyFill="1" applyBorder="1" applyAlignment="1" applyProtection="1">
      <alignment vertical="center"/>
      <protection hidden="1"/>
    </xf>
    <xf numFmtId="0" fontId="29" fillId="34" borderId="0" xfId="88" applyFont="1" applyFill="1" applyBorder="1" applyAlignment="1" applyProtection="1">
      <alignment vertical="center"/>
      <protection hidden="1"/>
    </xf>
    <xf numFmtId="0" fontId="71" fillId="33" borderId="10" xfId="0" applyFont="1" applyFill="1" applyBorder="1" applyAlignment="1">
      <alignment horizontal="left" wrapText="1"/>
    </xf>
    <xf numFmtId="0" fontId="67" fillId="33" borderId="21" xfId="0" applyFont="1" applyFill="1" applyBorder="1" applyAlignment="1">
      <alignment horizontal="center" wrapText="1"/>
    </xf>
    <xf numFmtId="1" fontId="19" fillId="33" borderId="21" xfId="0" applyNumberFormat="1" applyFont="1" applyFill="1" applyBorder="1" applyAlignment="1">
      <alignment horizontal="center"/>
    </xf>
    <xf numFmtId="0" fontId="0" fillId="33" borderId="29" xfId="87" applyFont="1" applyFill="1" applyBorder="1">
      <alignment/>
      <protection/>
    </xf>
    <xf numFmtId="0" fontId="19" fillId="33" borderId="19" xfId="88" applyFont="1" applyFill="1" applyBorder="1" applyProtection="1">
      <alignment/>
      <protection hidden="1"/>
    </xf>
    <xf numFmtId="0" fontId="0" fillId="33" borderId="0" xfId="87" applyFont="1" applyFill="1" applyBorder="1" applyProtection="1">
      <alignment/>
      <protection hidden="1"/>
    </xf>
    <xf numFmtId="0" fontId="27" fillId="33" borderId="0" xfId="88" applyFont="1" applyFill="1" applyBorder="1" applyAlignment="1" applyProtection="1">
      <alignment horizontal="left"/>
      <protection hidden="1"/>
    </xf>
    <xf numFmtId="0" fontId="29" fillId="33" borderId="29" xfId="88" applyFont="1" applyFill="1" applyBorder="1" applyProtection="1">
      <alignment/>
      <protection hidden="1"/>
    </xf>
    <xf numFmtId="0" fontId="38" fillId="33" borderId="28" xfId="88" applyFont="1" applyFill="1" applyBorder="1" applyAlignment="1">
      <alignment horizontal="left"/>
      <protection/>
    </xf>
    <xf numFmtId="0" fontId="29" fillId="33" borderId="14" xfId="88" applyFont="1" applyFill="1" applyBorder="1" applyAlignment="1" applyProtection="1">
      <alignment horizontal="left"/>
      <protection hidden="1"/>
    </xf>
    <xf numFmtId="0" fontId="75" fillId="33" borderId="15" xfId="88" applyFont="1" applyFill="1" applyBorder="1" applyAlignment="1" applyProtection="1">
      <alignment horizontal="left"/>
      <protection hidden="1"/>
    </xf>
    <xf numFmtId="0" fontId="76" fillId="33" borderId="15" xfId="88" applyFont="1" applyFill="1" applyBorder="1" applyProtection="1">
      <alignment/>
      <protection hidden="1"/>
    </xf>
    <xf numFmtId="0" fontId="75" fillId="33" borderId="15" xfId="88" applyFont="1" applyFill="1" applyBorder="1" applyProtection="1">
      <alignment/>
      <protection hidden="1"/>
    </xf>
    <xf numFmtId="0" fontId="75" fillId="33" borderId="17" xfId="88" applyFont="1" applyFill="1" applyBorder="1">
      <alignment/>
      <protection/>
    </xf>
    <xf numFmtId="0" fontId="44" fillId="33" borderId="0" xfId="0" applyFont="1" applyFill="1" applyBorder="1" applyAlignment="1">
      <alignment/>
    </xf>
    <xf numFmtId="0" fontId="38" fillId="34" borderId="17" xfId="87" applyFont="1" applyFill="1" applyBorder="1" applyAlignment="1">
      <alignment horizontal="left"/>
      <protection/>
    </xf>
    <xf numFmtId="0" fontId="0" fillId="33" borderId="28" xfId="88" applyFill="1" applyBorder="1" applyAlignment="1" applyProtection="1">
      <alignment horizontal="left"/>
      <protection hidden="1"/>
    </xf>
    <xf numFmtId="0" fontId="0" fillId="34" borderId="0" xfId="0" applyFill="1" applyAlignment="1">
      <alignment horizontal="left"/>
    </xf>
    <xf numFmtId="0" fontId="0" fillId="33" borderId="15" xfId="88" applyFill="1" applyBorder="1" applyAlignment="1" applyProtection="1">
      <alignment horizontal="left"/>
      <protection hidden="1"/>
    </xf>
    <xf numFmtId="0" fontId="0" fillId="33" borderId="12" xfId="88" applyFill="1" applyBorder="1" applyAlignment="1" applyProtection="1">
      <alignment horizontal="left"/>
      <protection hidden="1"/>
    </xf>
    <xf numFmtId="0" fontId="51" fillId="33" borderId="12" xfId="88" applyFont="1" applyFill="1" applyBorder="1" applyAlignment="1" applyProtection="1">
      <alignment horizontal="center"/>
      <protection hidden="1"/>
    </xf>
    <xf numFmtId="0" fontId="38" fillId="29" borderId="16" xfId="0" applyFont="1" applyFill="1" applyBorder="1" applyAlignment="1">
      <alignment horizontal="center" vertical="center"/>
    </xf>
    <xf numFmtId="0" fontId="32" fillId="33" borderId="25" xfId="87" applyFont="1" applyFill="1" applyBorder="1">
      <alignment/>
      <protection/>
    </xf>
    <xf numFmtId="0" fontId="40" fillId="34" borderId="25" xfId="87" applyFont="1" applyFill="1" applyBorder="1" applyAlignment="1" applyProtection="1">
      <alignment horizontal="center"/>
      <protection hidden="1"/>
    </xf>
    <xf numFmtId="0" fontId="29" fillId="35" borderId="16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0" fillId="33" borderId="17" xfId="88" applyFont="1" applyFill="1" applyBorder="1" applyProtection="1">
      <alignment/>
      <protection hidden="1"/>
    </xf>
    <xf numFmtId="0" fontId="38" fillId="34" borderId="0" xfId="87" applyFont="1" applyFill="1" applyBorder="1" applyAlignment="1" applyProtection="1">
      <alignment horizontal="left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96" fillId="33" borderId="14" xfId="0" applyFont="1" applyFill="1" applyBorder="1" applyAlignment="1">
      <alignment horizontal="center"/>
    </xf>
    <xf numFmtId="0" fontId="32" fillId="33" borderId="11" xfId="87" applyFont="1" applyFill="1" applyBorder="1" applyProtection="1">
      <alignment/>
      <protection hidden="1"/>
    </xf>
    <xf numFmtId="0" fontId="78" fillId="34" borderId="0" xfId="0" applyFont="1" applyFill="1" applyAlignment="1">
      <alignment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1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109" fillId="33" borderId="14" xfId="0" applyFont="1" applyFill="1" applyBorder="1" applyAlignment="1">
      <alignment horizontal="center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0" fillId="33" borderId="10" xfId="88" applyFont="1" applyFill="1" applyBorder="1" applyProtection="1">
      <alignment/>
      <protection hidden="1"/>
    </xf>
    <xf numFmtId="1" fontId="19" fillId="34" borderId="24" xfId="88" applyNumberFormat="1" applyFont="1" applyFill="1" applyBorder="1" applyAlignment="1" applyProtection="1">
      <alignment horizontal="center"/>
      <protection hidden="1"/>
    </xf>
    <xf numFmtId="1" fontId="19" fillId="34" borderId="15" xfId="88" applyNumberFormat="1" applyFont="1" applyFill="1" applyBorder="1" applyAlignment="1" applyProtection="1">
      <alignment horizontal="center"/>
      <protection hidden="1"/>
    </xf>
    <xf numFmtId="1" fontId="19" fillId="34" borderId="17" xfId="88" applyNumberFormat="1" applyFont="1" applyFill="1" applyBorder="1" applyAlignment="1" applyProtection="1">
      <alignment horizontal="center"/>
      <protection hidden="1"/>
    </xf>
    <xf numFmtId="0" fontId="110" fillId="33" borderId="0" xfId="88" applyFont="1" applyFill="1" applyBorder="1" applyAlignment="1" applyProtection="1">
      <alignment horizontal="left" wrapText="1"/>
      <protection hidden="1"/>
    </xf>
    <xf numFmtId="0" fontId="111" fillId="33" borderId="0" xfId="0" applyFont="1" applyFill="1" applyAlignment="1">
      <alignment horizontal="left" wrapText="1"/>
    </xf>
    <xf numFmtId="0" fontId="111" fillId="33" borderId="0" xfId="0" applyFont="1" applyFill="1" applyAlignment="1">
      <alignment horizontal="center"/>
    </xf>
    <xf numFmtId="0" fontId="112" fillId="34" borderId="0" xfId="0" applyFont="1" applyFill="1" applyAlignment="1">
      <alignment horizontal="center"/>
    </xf>
    <xf numFmtId="0" fontId="113" fillId="33" borderId="0" xfId="0" applyFont="1" applyFill="1" applyBorder="1" applyAlignment="1">
      <alignment horizontal="center"/>
    </xf>
    <xf numFmtId="0" fontId="114" fillId="36" borderId="0" xfId="0" applyFont="1" applyFill="1" applyAlignment="1">
      <alignment horizontal="left" vertical="top"/>
    </xf>
    <xf numFmtId="0" fontId="114" fillId="36" borderId="0" xfId="88" applyFont="1" applyFill="1" applyAlignment="1" applyProtection="1">
      <alignment/>
      <protection hidden="1"/>
    </xf>
    <xf numFmtId="0" fontId="114" fillId="0" borderId="0" xfId="0" applyFont="1" applyAlignment="1">
      <alignment/>
    </xf>
    <xf numFmtId="0" fontId="115" fillId="0" borderId="0" xfId="0" applyFont="1" applyBorder="1" applyAlignment="1">
      <alignment/>
    </xf>
    <xf numFmtId="0" fontId="116" fillId="34" borderId="0" xfId="60" applyFont="1" applyFill="1" applyBorder="1" applyAlignment="1" applyProtection="1">
      <alignment horizontal="left" indent="3"/>
      <protection hidden="1"/>
    </xf>
    <xf numFmtId="1" fontId="19" fillId="34" borderId="12" xfId="88" applyNumberFormat="1" applyFont="1" applyFill="1" applyBorder="1" applyAlignment="1" applyProtection="1">
      <alignment horizontal="center"/>
      <protection hidden="1"/>
    </xf>
    <xf numFmtId="1" fontId="19" fillId="34" borderId="36" xfId="88" applyNumberFormat="1" applyFont="1" applyFill="1" applyBorder="1" applyAlignment="1" applyProtection="1">
      <alignment horizontal="center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34" borderId="28" xfId="0" applyNumberFormat="1" applyFont="1" applyFill="1" applyBorder="1" applyAlignment="1" applyProtection="1">
      <alignment horizontal="center"/>
      <protection hidden="1"/>
    </xf>
    <xf numFmtId="1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" fontId="19" fillId="34" borderId="24" xfId="0" applyNumberFormat="1" applyFont="1" applyFill="1" applyBorder="1" applyAlignment="1" applyProtection="1">
      <alignment horizontal="center"/>
      <protection hidden="1"/>
    </xf>
    <xf numFmtId="1" fontId="19" fillId="34" borderId="15" xfId="0" applyNumberFormat="1" applyFont="1" applyFill="1" applyBorder="1" applyAlignment="1" applyProtection="1">
      <alignment horizontal="center"/>
      <protection hidden="1"/>
    </xf>
    <xf numFmtId="1" fontId="19" fillId="34" borderId="17" xfId="0" applyNumberFormat="1" applyFont="1" applyFill="1" applyBorder="1" applyAlignment="1" applyProtection="1">
      <alignment horizontal="center"/>
      <protection hidden="1"/>
    </xf>
    <xf numFmtId="1" fontId="19" fillId="34" borderId="29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0" fontId="117" fillId="33" borderId="0" xfId="88" applyFont="1" applyFill="1" applyBorder="1" applyAlignment="1" applyProtection="1">
      <alignment wrapText="1"/>
      <protection hidden="1"/>
    </xf>
    <xf numFmtId="172" fontId="19" fillId="34" borderId="12" xfId="88" applyNumberFormat="1" applyFont="1" applyFill="1" applyBorder="1" applyAlignment="1" applyProtection="1">
      <alignment horizontal="center"/>
      <protection hidden="1"/>
    </xf>
    <xf numFmtId="0" fontId="30" fillId="33" borderId="0" xfId="0" applyFont="1" applyFill="1" applyBorder="1" applyAlignment="1">
      <alignment horizontal="center"/>
    </xf>
    <xf numFmtId="172" fontId="19" fillId="34" borderId="29" xfId="88" applyNumberFormat="1" applyFont="1" applyFill="1" applyBorder="1" applyAlignment="1" applyProtection="1">
      <alignment horizontal="center"/>
      <protection hidden="1"/>
    </xf>
    <xf numFmtId="172" fontId="19" fillId="34" borderId="15" xfId="88" applyNumberFormat="1" applyFont="1" applyFill="1" applyBorder="1" applyAlignment="1" applyProtection="1">
      <alignment horizontal="center"/>
      <protection hidden="1"/>
    </xf>
    <xf numFmtId="172" fontId="19" fillId="34" borderId="17" xfId="88" applyNumberFormat="1" applyFont="1" applyFill="1" applyBorder="1" applyAlignment="1" applyProtection="1">
      <alignment horizontal="center"/>
      <protection hidden="1"/>
    </xf>
    <xf numFmtId="172" fontId="19" fillId="33" borderId="24" xfId="0" applyNumberFormat="1" applyFont="1" applyFill="1" applyBorder="1" applyAlignment="1" applyProtection="1">
      <alignment horizontal="center"/>
      <protection hidden="1"/>
    </xf>
    <xf numFmtId="172" fontId="19" fillId="33" borderId="29" xfId="0" applyNumberFormat="1" applyFont="1" applyFill="1" applyBorder="1" applyAlignment="1" applyProtection="1">
      <alignment horizontal="center"/>
      <protection hidden="1"/>
    </xf>
    <xf numFmtId="0" fontId="0" fillId="33" borderId="35" xfId="88" applyFont="1" applyFill="1" applyBorder="1" applyProtection="1">
      <alignment/>
      <protection hidden="1"/>
    </xf>
    <xf numFmtId="0" fontId="0" fillId="33" borderId="28" xfId="88" applyFont="1" applyFill="1" applyBorder="1" applyProtection="1">
      <alignment/>
      <protection hidden="1"/>
    </xf>
    <xf numFmtId="0" fontId="36" fillId="33" borderId="0" xfId="0" applyFont="1" applyFill="1" applyBorder="1" applyAlignment="1">
      <alignment horizontal="center"/>
    </xf>
    <xf numFmtId="172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12" xfId="88" applyNumberFormat="1" applyFont="1" applyFill="1" applyBorder="1" applyAlignment="1" applyProtection="1">
      <alignment horizontal="center"/>
      <protection hidden="1"/>
    </xf>
    <xf numFmtId="1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" fontId="19" fillId="34" borderId="0" xfId="88" applyNumberFormat="1" applyFont="1" applyFill="1" applyBorder="1" applyAlignment="1" applyProtection="1">
      <alignment horizontal="center"/>
      <protection hidden="1"/>
    </xf>
    <xf numFmtId="172" fontId="19" fillId="34" borderId="0" xfId="88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172" fontId="19" fillId="34" borderId="28" xfId="87" applyNumberFormat="1" applyFont="1" applyFill="1" applyBorder="1" applyAlignment="1" applyProtection="1">
      <alignment horizontal="center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0" fontId="34" fillId="34" borderId="0" xfId="87" applyFont="1" applyFill="1" applyBorder="1" applyAlignment="1" applyProtection="1">
      <alignment horizontal="left"/>
      <protection hidden="1"/>
    </xf>
    <xf numFmtId="0" fontId="27" fillId="34" borderId="0" xfId="87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172" fontId="19" fillId="34" borderId="12" xfId="88" applyNumberFormat="1" applyFont="1" applyFill="1" applyBorder="1" applyAlignment="1" applyProtection="1">
      <alignment horizontal="center"/>
      <protection hidden="1"/>
    </xf>
    <xf numFmtId="172" fontId="19" fillId="34" borderId="0" xfId="88" applyNumberFormat="1" applyFont="1" applyFill="1" applyBorder="1" applyAlignment="1" applyProtection="1">
      <alignment horizontal="center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72" fontId="19" fillId="34" borderId="28" xfId="87" applyNumberFormat="1" applyFont="1" applyFill="1" applyBorder="1" applyAlignment="1" applyProtection="1">
      <alignment horizontal="center"/>
      <protection hidden="1"/>
    </xf>
    <xf numFmtId="1" fontId="19" fillId="34" borderId="12" xfId="88" applyNumberFormat="1" applyFont="1" applyFill="1" applyBorder="1" applyAlignment="1" applyProtection="1">
      <alignment horizontal="center"/>
      <protection hidden="1"/>
    </xf>
    <xf numFmtId="1" fontId="19" fillId="34" borderId="28" xfId="88" applyNumberFormat="1" applyFont="1" applyFill="1" applyBorder="1" applyAlignment="1" applyProtection="1">
      <alignment horizontal="center"/>
      <protection hidden="1"/>
    </xf>
    <xf numFmtId="1" fontId="19" fillId="34" borderId="10" xfId="87" applyNumberFormat="1" applyFont="1" applyFill="1" applyBorder="1" applyAlignment="1" applyProtection="1">
      <alignment horizontal="center"/>
      <protection hidden="1"/>
    </xf>
    <xf numFmtId="1" fontId="19" fillId="34" borderId="0" xfId="88" applyNumberFormat="1" applyFont="1" applyFill="1" applyBorder="1" applyAlignment="1" applyProtection="1">
      <alignment horizontal="center"/>
      <protection hidden="1"/>
    </xf>
    <xf numFmtId="0" fontId="38" fillId="34" borderId="0" xfId="87" applyFont="1" applyFill="1" applyBorder="1" applyAlignment="1" applyProtection="1">
      <alignment horizontal="left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0" fontId="29" fillId="35" borderId="11" xfId="0" applyFont="1" applyFill="1" applyBorder="1" applyAlignment="1">
      <alignment horizontal="center" vertical="center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172" fontId="19" fillId="34" borderId="12" xfId="87" applyNumberFormat="1" applyFont="1" applyFill="1" applyBorder="1" applyAlignment="1" applyProtection="1">
      <alignment horizontal="center"/>
      <protection hidden="1"/>
    </xf>
    <xf numFmtId="172" fontId="19" fillId="34" borderId="28" xfId="88" applyNumberFormat="1" applyFont="1" applyFill="1" applyBorder="1" applyAlignment="1" applyProtection="1">
      <alignment horizontal="center"/>
      <protection hidden="1"/>
    </xf>
    <xf numFmtId="0" fontId="29" fillId="35" borderId="11" xfId="0" applyFont="1" applyFill="1" applyBorder="1" applyAlignment="1">
      <alignment horizontal="center" vertical="center"/>
    </xf>
    <xf numFmtId="0" fontId="100" fillId="35" borderId="22" xfId="87" applyFont="1" applyFill="1" applyBorder="1" applyAlignment="1" applyProtection="1">
      <alignment horizontal="center"/>
      <protection hidden="1"/>
    </xf>
    <xf numFmtId="172" fontId="19" fillId="34" borderId="17" xfId="87" applyNumberFormat="1" applyFont="1" applyFill="1" applyBorder="1" applyAlignment="1" applyProtection="1">
      <alignment horizontal="center"/>
      <protection hidden="1"/>
    </xf>
    <xf numFmtId="0" fontId="44" fillId="35" borderId="23" xfId="87" applyFont="1" applyFill="1" applyBorder="1" applyAlignment="1" applyProtection="1">
      <alignment horizontal="center"/>
      <protection hidden="1"/>
    </xf>
    <xf numFmtId="172" fontId="19" fillId="34" borderId="15" xfId="87" applyNumberFormat="1" applyFont="1" applyFill="1" applyBorder="1" applyAlignment="1" applyProtection="1">
      <alignment horizontal="center"/>
      <protection hidden="1"/>
    </xf>
    <xf numFmtId="0" fontId="104" fillId="33" borderId="14" xfId="87" applyFont="1" applyFill="1" applyBorder="1" applyAlignment="1" applyProtection="1">
      <alignment horizontal="center"/>
      <protection hidden="1"/>
    </xf>
    <xf numFmtId="0" fontId="0" fillId="33" borderId="12" xfId="87" applyFont="1" applyFill="1" applyBorder="1" applyAlignment="1" applyProtection="1">
      <alignment horizontal="left"/>
      <protection hidden="1"/>
    </xf>
    <xf numFmtId="0" fontId="0" fillId="33" borderId="15" xfId="87" applyFont="1" applyFill="1" applyBorder="1" applyProtection="1">
      <alignment/>
      <protection hidden="1"/>
    </xf>
    <xf numFmtId="0" fontId="32" fillId="33" borderId="15" xfId="87" applyFont="1" applyFill="1" applyBorder="1" applyAlignment="1" applyProtection="1">
      <alignment wrapText="1"/>
      <protection hidden="1"/>
    </xf>
    <xf numFmtId="0" fontId="19" fillId="33" borderId="28" xfId="0" applyFont="1" applyFill="1" applyBorder="1" applyAlignment="1">
      <alignment/>
    </xf>
    <xf numFmtId="0" fontId="104" fillId="33" borderId="15" xfId="87" applyFont="1" applyFill="1" applyBorder="1" applyAlignment="1" applyProtection="1">
      <alignment horizontal="center"/>
      <protection hidden="1"/>
    </xf>
    <xf numFmtId="172" fontId="19" fillId="34" borderId="29" xfId="87" applyNumberFormat="1" applyFont="1" applyFill="1" applyBorder="1" applyAlignment="1" applyProtection="1">
      <alignment horizontal="center"/>
      <protection hidden="1"/>
    </xf>
    <xf numFmtId="0" fontId="0" fillId="33" borderId="24" xfId="87" applyFont="1" applyFill="1" applyBorder="1" applyProtection="1">
      <alignment/>
      <protection hidden="1"/>
    </xf>
    <xf numFmtId="0" fontId="0" fillId="33" borderId="0" xfId="87" applyFill="1" applyBorder="1" applyProtection="1">
      <alignment/>
      <protection hidden="1"/>
    </xf>
    <xf numFmtId="172" fontId="19" fillId="34" borderId="0" xfId="87" applyNumberFormat="1" applyFont="1" applyFill="1" applyBorder="1" applyAlignment="1" applyProtection="1">
      <alignment horizontal="center"/>
      <protection hidden="1"/>
    </xf>
    <xf numFmtId="0" fontId="42" fillId="33" borderId="0" xfId="87" applyFont="1" applyFill="1" applyBorder="1" applyProtection="1">
      <alignment/>
      <protection hidden="1"/>
    </xf>
    <xf numFmtId="0" fontId="0" fillId="33" borderId="17" xfId="87" applyFont="1" applyFill="1" applyBorder="1" applyProtection="1">
      <alignment/>
      <protection hidden="1"/>
    </xf>
    <xf numFmtId="0" fontId="29" fillId="34" borderId="12" xfId="0" applyFont="1" applyFill="1" applyBorder="1" applyAlignment="1">
      <alignment vertical="center"/>
    </xf>
    <xf numFmtId="0" fontId="0" fillId="33" borderId="28" xfId="87" applyFill="1" applyBorder="1" applyProtection="1">
      <alignment/>
      <protection hidden="1"/>
    </xf>
    <xf numFmtId="0" fontId="30" fillId="33" borderId="30" xfId="0" applyFont="1" applyFill="1" applyBorder="1" applyAlignment="1">
      <alignment horizontal="center"/>
    </xf>
    <xf numFmtId="0" fontId="19" fillId="33" borderId="30" xfId="0" applyFont="1" applyFill="1" applyBorder="1" applyAlignment="1">
      <alignment/>
    </xf>
    <xf numFmtId="0" fontId="0" fillId="33" borderId="11" xfId="87" applyFill="1" applyBorder="1" applyProtection="1">
      <alignment/>
      <protection hidden="1"/>
    </xf>
    <xf numFmtId="172" fontId="19" fillId="34" borderId="0" xfId="87" applyNumberFormat="1" applyFont="1" applyFill="1" applyBorder="1" applyAlignment="1" applyProtection="1">
      <alignment horizontal="center"/>
      <protection hidden="1"/>
    </xf>
    <xf numFmtId="0" fontId="19" fillId="33" borderId="15" xfId="87" applyFont="1" applyFill="1" applyBorder="1" applyProtection="1">
      <alignment/>
      <protection hidden="1"/>
    </xf>
    <xf numFmtId="0" fontId="0" fillId="33" borderId="11" xfId="87" applyFont="1" applyFill="1" applyBorder="1" applyProtection="1">
      <alignment/>
      <protection hidden="1"/>
    </xf>
    <xf numFmtId="0" fontId="32" fillId="34" borderId="0" xfId="87" applyFont="1" applyFill="1" applyBorder="1" applyAlignment="1" applyProtection="1">
      <alignment horizontal="left"/>
      <protection hidden="1"/>
    </xf>
    <xf numFmtId="0" fontId="0" fillId="33" borderId="28" xfId="0" applyFont="1" applyFill="1" applyBorder="1" applyAlignment="1">
      <alignment/>
    </xf>
    <xf numFmtId="172" fontId="19" fillId="34" borderId="29" xfId="88" applyNumberFormat="1" applyFont="1" applyFill="1" applyBorder="1" applyAlignment="1" applyProtection="1">
      <alignment horizontal="center"/>
      <protection hidden="1"/>
    </xf>
    <xf numFmtId="0" fontId="21" fillId="33" borderId="10" xfId="0" applyFont="1" applyFill="1" applyBorder="1" applyAlignment="1">
      <alignment horizontal="left"/>
    </xf>
    <xf numFmtId="1" fontId="19" fillId="34" borderId="10" xfId="88" applyNumberFormat="1" applyFont="1" applyFill="1" applyBorder="1" applyAlignment="1" applyProtection="1">
      <alignment horizontal="center"/>
      <protection hidden="1"/>
    </xf>
    <xf numFmtId="0" fontId="51" fillId="33" borderId="12" xfId="87" applyFont="1" applyFill="1" applyBorder="1" applyAlignment="1" applyProtection="1">
      <alignment horizontal="center"/>
      <protection hidden="1"/>
    </xf>
    <xf numFmtId="0" fontId="38" fillId="33" borderId="19" xfId="87" applyFont="1" applyFill="1" applyBorder="1" applyProtection="1">
      <alignment/>
      <protection hidden="1"/>
    </xf>
    <xf numFmtId="0" fontId="0" fillId="34" borderId="12" xfId="0" applyFill="1" applyBorder="1" applyAlignment="1">
      <alignment/>
    </xf>
    <xf numFmtId="0" fontId="19" fillId="38" borderId="0" xfId="87" applyFont="1" applyFill="1">
      <alignment/>
      <protection/>
    </xf>
    <xf numFmtId="0" fontId="0" fillId="33" borderId="0" xfId="87" applyFont="1" applyFill="1" applyAlignment="1">
      <alignment wrapText="1"/>
      <protection/>
    </xf>
    <xf numFmtId="0" fontId="19" fillId="33" borderId="0" xfId="87" applyFont="1" applyFill="1" applyAlignment="1">
      <alignment/>
      <protection/>
    </xf>
    <xf numFmtId="0" fontId="0" fillId="33" borderId="12" xfId="88" applyFont="1" applyFill="1" applyBorder="1" applyAlignment="1" applyProtection="1">
      <alignment horizontal="left"/>
      <protection hidden="1"/>
    </xf>
    <xf numFmtId="172" fontId="19" fillId="34" borderId="12" xfId="0" applyNumberFormat="1" applyFont="1" applyFill="1" applyBorder="1" applyAlignment="1" applyProtection="1">
      <alignment horizontal="center"/>
      <protection hidden="1"/>
    </xf>
    <xf numFmtId="172" fontId="19" fillId="34" borderId="17" xfId="0" applyNumberFormat="1" applyFont="1" applyFill="1" applyBorder="1" applyAlignment="1" applyProtection="1">
      <alignment horizontal="center"/>
      <protection hidden="1"/>
    </xf>
    <xf numFmtId="172" fontId="19" fillId="34" borderId="28" xfId="0" applyNumberFormat="1" applyFont="1" applyFill="1" applyBorder="1" applyAlignment="1" applyProtection="1">
      <alignment horizontal="center"/>
      <protection hidden="1"/>
    </xf>
    <xf numFmtId="172" fontId="19" fillId="34" borderId="0" xfId="0" applyNumberFormat="1" applyFont="1" applyFill="1" applyBorder="1" applyAlignment="1" applyProtection="1">
      <alignment horizontal="center"/>
      <protection hidden="1"/>
    </xf>
    <xf numFmtId="0" fontId="98" fillId="29" borderId="11" xfId="0" applyFont="1" applyFill="1" applyBorder="1" applyAlignment="1">
      <alignment horizontal="center"/>
    </xf>
    <xf numFmtId="0" fontId="0" fillId="34" borderId="0" xfId="88" applyFont="1" applyFill="1" applyAlignment="1">
      <alignment/>
      <protection/>
    </xf>
    <xf numFmtId="0" fontId="29" fillId="33" borderId="13" xfId="87" applyFont="1" applyFill="1" applyBorder="1" applyAlignment="1" applyProtection="1">
      <alignment horizontal="left"/>
      <protection hidden="1"/>
    </xf>
    <xf numFmtId="0" fontId="19" fillId="33" borderId="12" xfId="0" applyFont="1" applyFill="1" applyBorder="1" applyAlignment="1">
      <alignment horizontal="center"/>
    </xf>
    <xf numFmtId="0" fontId="0" fillId="33" borderId="0" xfId="87" applyFont="1" applyFill="1" applyBorder="1" applyProtection="1">
      <alignment/>
      <protection hidden="1"/>
    </xf>
    <xf numFmtId="0" fontId="44" fillId="33" borderId="13" xfId="0" applyFont="1" applyFill="1" applyBorder="1" applyAlignment="1">
      <alignment horizontal="center"/>
    </xf>
    <xf numFmtId="0" fontId="0" fillId="33" borderId="15" xfId="87" applyFont="1" applyFill="1" applyBorder="1" applyAlignment="1" applyProtection="1">
      <alignment horizontal="left"/>
      <protection hidden="1"/>
    </xf>
    <xf numFmtId="0" fontId="19" fillId="33" borderId="12" xfId="0" applyFont="1" applyFill="1" applyBorder="1" applyAlignment="1">
      <alignment/>
    </xf>
    <xf numFmtId="0" fontId="29" fillId="33" borderId="24" xfId="87" applyFont="1" applyFill="1" applyBorder="1" applyProtection="1">
      <alignment/>
      <protection hidden="1"/>
    </xf>
    <xf numFmtId="0" fontId="29" fillId="33" borderId="30" xfId="87" applyFont="1" applyFill="1" applyBorder="1" applyAlignment="1" applyProtection="1">
      <alignment horizontal="center"/>
      <protection hidden="1"/>
    </xf>
    <xf numFmtId="0" fontId="41" fillId="33" borderId="0" xfId="87" applyFont="1" applyFill="1" applyBorder="1" applyProtection="1">
      <alignment/>
      <protection hidden="1"/>
    </xf>
    <xf numFmtId="0" fontId="19" fillId="33" borderId="15" xfId="0" applyFont="1" applyFill="1" applyBorder="1" applyAlignment="1">
      <alignment horizontal="center"/>
    </xf>
    <xf numFmtId="0" fontId="19" fillId="38" borderId="0" xfId="87" applyFont="1" applyFill="1" applyAlignment="1" applyProtection="1">
      <alignment/>
      <protection hidden="1"/>
    </xf>
    <xf numFmtId="0" fontId="19" fillId="38" borderId="0" xfId="87" applyFont="1" applyFill="1" applyProtection="1">
      <alignment/>
      <protection hidden="1"/>
    </xf>
    <xf numFmtId="0" fontId="0" fillId="33" borderId="24" xfId="87" applyFont="1" applyFill="1" applyBorder="1">
      <alignment/>
      <protection/>
    </xf>
    <xf numFmtId="0" fontId="0" fillId="33" borderId="15" xfId="87" applyFont="1" applyFill="1" applyBorder="1">
      <alignment/>
      <protection/>
    </xf>
    <xf numFmtId="0" fontId="0" fillId="33" borderId="15" xfId="87" applyFont="1" applyFill="1" applyBorder="1" applyAlignment="1">
      <alignment horizontal="left"/>
      <protection/>
    </xf>
    <xf numFmtId="0" fontId="0" fillId="33" borderId="17" xfId="87" applyFont="1" applyFill="1" applyBorder="1">
      <alignment/>
      <protection/>
    </xf>
    <xf numFmtId="0" fontId="0" fillId="33" borderId="30" xfId="87" applyFont="1" applyFill="1" applyBorder="1" applyProtection="1">
      <alignment/>
      <protection hidden="1"/>
    </xf>
    <xf numFmtId="0" fontId="19" fillId="33" borderId="25" xfId="0" applyFont="1" applyFill="1" applyBorder="1" applyAlignment="1">
      <alignment/>
    </xf>
    <xf numFmtId="0" fontId="0" fillId="33" borderId="15" xfId="87" applyFont="1" applyFill="1" applyBorder="1" applyAlignment="1" applyProtection="1">
      <alignment horizontal="left"/>
      <protection hidden="1"/>
    </xf>
    <xf numFmtId="0" fontId="0" fillId="33" borderId="17" xfId="87" applyFont="1" applyFill="1" applyBorder="1" applyAlignment="1" applyProtection="1">
      <alignment horizontal="left"/>
      <protection hidden="1"/>
    </xf>
    <xf numFmtId="0" fontId="0" fillId="33" borderId="35" xfId="87" applyFont="1" applyFill="1" applyBorder="1" applyProtection="1">
      <alignment/>
      <protection hidden="1"/>
    </xf>
    <xf numFmtId="172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12" xfId="87" applyNumberFormat="1" applyFont="1" applyFill="1" applyBorder="1" applyAlignment="1" applyProtection="1">
      <alignment horizontal="center"/>
      <protection hidden="1"/>
    </xf>
    <xf numFmtId="172" fontId="19" fillId="34" borderId="28" xfId="87" applyNumberFormat="1" applyFont="1" applyFill="1" applyBorder="1" applyAlignment="1" applyProtection="1">
      <alignment horizontal="center"/>
      <protection hidden="1"/>
    </xf>
    <xf numFmtId="172" fontId="19" fillId="34" borderId="12" xfId="88" applyNumberFormat="1" applyFont="1" applyFill="1" applyBorder="1" applyAlignment="1" applyProtection="1">
      <alignment horizontal="center"/>
      <protection hidden="1"/>
    </xf>
    <xf numFmtId="172" fontId="19" fillId="34" borderId="0" xfId="88" applyNumberFormat="1" applyFont="1" applyFill="1" applyBorder="1" applyAlignment="1" applyProtection="1">
      <alignment horizontal="center"/>
      <protection hidden="1"/>
    </xf>
    <xf numFmtId="1" fontId="19" fillId="34" borderId="12" xfId="88" applyNumberFormat="1" applyFont="1" applyFill="1" applyBorder="1" applyAlignment="1" applyProtection="1">
      <alignment horizontal="center"/>
      <protection hidden="1"/>
    </xf>
    <xf numFmtId="1" fontId="19" fillId="34" borderId="29" xfId="87" applyNumberFormat="1" applyFont="1" applyFill="1" applyBorder="1" applyAlignment="1" applyProtection="1">
      <alignment horizontal="center"/>
      <protection hidden="1"/>
    </xf>
    <xf numFmtId="172" fontId="19" fillId="34" borderId="29" xfId="88" applyNumberFormat="1" applyFont="1" applyFill="1" applyBorder="1" applyAlignment="1" applyProtection="1">
      <alignment horizontal="center"/>
      <protection hidden="1"/>
    </xf>
    <xf numFmtId="0" fontId="38" fillId="34" borderId="0" xfId="87" applyFont="1" applyFill="1" applyBorder="1" applyAlignment="1" applyProtection="1">
      <alignment horizontal="left"/>
      <protection hidden="1"/>
    </xf>
    <xf numFmtId="0" fontId="34" fillId="34" borderId="10" xfId="0" applyFont="1" applyFill="1" applyBorder="1" applyAlignment="1">
      <alignment horizontal="left"/>
    </xf>
    <xf numFmtId="1" fontId="27" fillId="33" borderId="0" xfId="87" applyNumberFormat="1" applyFont="1" applyFill="1" applyBorder="1" applyAlignment="1" applyProtection="1">
      <alignment horizontal="left"/>
      <protection hidden="1"/>
    </xf>
    <xf numFmtId="0" fontId="34" fillId="34" borderId="0" xfId="0" applyFont="1" applyFill="1" applyBorder="1" applyAlignment="1">
      <alignment horizontal="left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29" fillId="35" borderId="11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4" borderId="0" xfId="87" applyFont="1" applyFill="1" applyBorder="1" applyAlignment="1" applyProtection="1">
      <alignment horizontal="center"/>
      <protection hidden="1"/>
    </xf>
    <xf numFmtId="0" fontId="0" fillId="39" borderId="0" xfId="0" applyFill="1" applyBorder="1" applyAlignment="1">
      <alignment horizontal="left" wrapText="1"/>
    </xf>
    <xf numFmtId="0" fontId="69" fillId="39" borderId="0" xfId="87" applyFont="1" applyFill="1" applyBorder="1" applyAlignment="1" applyProtection="1">
      <alignment horizontal="left"/>
      <protection hidden="1"/>
    </xf>
    <xf numFmtId="0" fontId="34" fillId="39" borderId="0" xfId="87" applyFont="1" applyFill="1" applyBorder="1" applyAlignment="1">
      <alignment horizontal="left"/>
      <protection/>
    </xf>
    <xf numFmtId="0" fontId="42" fillId="33" borderId="30" xfId="0" applyFont="1" applyFill="1" applyBorder="1" applyAlignment="1">
      <alignment horizontal="center"/>
    </xf>
    <xf numFmtId="1" fontId="19" fillId="33" borderId="11" xfId="0" applyNumberFormat="1" applyFont="1" applyFill="1" applyBorder="1" applyAlignment="1" applyProtection="1">
      <alignment horizontal="center"/>
      <protection hidden="1"/>
    </xf>
    <xf numFmtId="172" fontId="19" fillId="39" borderId="12" xfId="88" applyNumberFormat="1" applyFont="1" applyFill="1" applyBorder="1" applyAlignment="1" applyProtection="1">
      <alignment horizontal="center"/>
      <protection hidden="1"/>
    </xf>
    <xf numFmtId="0" fontId="44" fillId="29" borderId="29" xfId="0" applyFont="1" applyFill="1" applyBorder="1" applyAlignment="1">
      <alignment horizontal="center"/>
    </xf>
    <xf numFmtId="0" fontId="44" fillId="39" borderId="0" xfId="0" applyFont="1" applyFill="1" applyBorder="1" applyAlignment="1">
      <alignment horizontal="center"/>
    </xf>
    <xf numFmtId="172" fontId="19" fillId="39" borderId="0" xfId="88" applyNumberFormat="1" applyFont="1" applyFill="1" applyBorder="1" applyAlignment="1" applyProtection="1">
      <alignment horizontal="center"/>
      <protection hidden="1"/>
    </xf>
    <xf numFmtId="1" fontId="19" fillId="39" borderId="0" xfId="0" applyNumberFormat="1" applyFont="1" applyFill="1" applyBorder="1" applyAlignment="1" applyProtection="1">
      <alignment horizontal="center"/>
      <protection hidden="1"/>
    </xf>
    <xf numFmtId="0" fontId="44" fillId="39" borderId="12" xfId="0" applyFont="1" applyFill="1" applyBorder="1" applyAlignment="1">
      <alignment horizontal="center"/>
    </xf>
    <xf numFmtId="0" fontId="32" fillId="33" borderId="10" xfId="87" applyFont="1" applyFill="1" applyBorder="1" applyProtection="1">
      <alignment/>
      <protection hidden="1"/>
    </xf>
    <xf numFmtId="0" fontId="19" fillId="34" borderId="10" xfId="0" applyFont="1" applyFill="1" applyBorder="1" applyAlignment="1">
      <alignment/>
    </xf>
    <xf numFmtId="0" fontId="61" fillId="33" borderId="0" xfId="87" applyFont="1" applyFill="1" applyBorder="1" applyProtection="1">
      <alignment/>
      <protection hidden="1"/>
    </xf>
    <xf numFmtId="0" fontId="21" fillId="33" borderId="19" xfId="0" applyFont="1" applyFill="1" applyBorder="1" applyAlignment="1">
      <alignment horizontal="left"/>
    </xf>
    <xf numFmtId="0" fontId="0" fillId="33" borderId="11" xfId="88" applyFont="1" applyFill="1" applyBorder="1" applyProtection="1">
      <alignment/>
      <protection hidden="1"/>
    </xf>
    <xf numFmtId="0" fontId="29" fillId="35" borderId="44" xfId="0" applyFont="1" applyFill="1" applyBorder="1" applyAlignment="1">
      <alignment horizontal="center" vertical="center"/>
    </xf>
    <xf numFmtId="0" fontId="42" fillId="29" borderId="16" xfId="0" applyFont="1" applyFill="1" applyBorder="1" applyAlignment="1">
      <alignment horizontal="center" vertical="center"/>
    </xf>
    <xf numFmtId="0" fontId="52" fillId="39" borderId="0" xfId="0" applyFont="1" applyFill="1" applyBorder="1" applyAlignment="1" applyProtection="1">
      <alignment/>
      <protection hidden="1"/>
    </xf>
    <xf numFmtId="0" fontId="100" fillId="29" borderId="22" xfId="0" applyFont="1" applyFill="1" applyBorder="1" applyAlignment="1">
      <alignment horizontal="center"/>
    </xf>
    <xf numFmtId="0" fontId="0" fillId="33" borderId="17" xfId="87" applyFont="1" applyFill="1" applyBorder="1" applyAlignment="1" applyProtection="1">
      <alignment horizontal="left"/>
      <protection hidden="1"/>
    </xf>
    <xf numFmtId="0" fontId="32" fillId="34" borderId="28" xfId="87" applyFont="1" applyFill="1" applyBorder="1" applyProtection="1">
      <alignment/>
      <protection hidden="1"/>
    </xf>
    <xf numFmtId="0" fontId="0" fillId="34" borderId="17" xfId="87" applyFont="1" applyFill="1" applyBorder="1" applyProtection="1">
      <alignment/>
      <protection hidden="1"/>
    </xf>
    <xf numFmtId="172" fontId="19" fillId="34" borderId="29" xfId="88" applyNumberFormat="1" applyFont="1" applyFill="1" applyBorder="1" applyAlignment="1" applyProtection="1">
      <alignment horizontal="center"/>
      <protection hidden="1"/>
    </xf>
    <xf numFmtId="172" fontId="19" fillId="34" borderId="12" xfId="88" applyNumberFormat="1" applyFont="1" applyFill="1" applyBorder="1" applyAlignment="1" applyProtection="1">
      <alignment horizontal="center"/>
      <protection hidden="1"/>
    </xf>
    <xf numFmtId="172" fontId="19" fillId="34" borderId="28" xfId="87" applyNumberFormat="1" applyFont="1" applyFill="1" applyBorder="1" applyAlignment="1" applyProtection="1">
      <alignment horizontal="center"/>
      <protection hidden="1"/>
    </xf>
    <xf numFmtId="172" fontId="19" fillId="34" borderId="12" xfId="87" applyNumberFormat="1" applyFont="1" applyFill="1" applyBorder="1" applyAlignment="1" applyProtection="1">
      <alignment horizontal="center"/>
      <protection hidden="1"/>
    </xf>
    <xf numFmtId="172" fontId="19" fillId="34" borderId="0" xfId="87" applyNumberFormat="1" applyFont="1" applyFill="1" applyBorder="1" applyAlignment="1" applyProtection="1">
      <alignment horizontal="center"/>
      <protection hidden="1"/>
    </xf>
    <xf numFmtId="0" fontId="38" fillId="34" borderId="0" xfId="88" applyFont="1" applyFill="1" applyAlignment="1">
      <alignment horizontal="left"/>
      <protection/>
    </xf>
    <xf numFmtId="0" fontId="29" fillId="29" borderId="35" xfId="0" applyFont="1" applyFill="1" applyBorder="1" applyAlignment="1">
      <alignment horizontal="center"/>
    </xf>
    <xf numFmtId="0" fontId="29" fillId="29" borderId="27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172" fontId="19" fillId="34" borderId="0" xfId="88" applyNumberFormat="1" applyFont="1" applyFill="1" applyBorder="1" applyAlignment="1" applyProtection="1">
      <alignment horizontal="center"/>
      <protection hidden="1"/>
    </xf>
    <xf numFmtId="172" fontId="19" fillId="34" borderId="29" xfId="87" applyNumberFormat="1" applyFont="1" applyFill="1" applyBorder="1" applyAlignment="1" applyProtection="1">
      <alignment horizontal="center"/>
      <protection hidden="1"/>
    </xf>
    <xf numFmtId="0" fontId="38" fillId="34" borderId="0" xfId="87" applyFont="1" applyFill="1" applyBorder="1" applyAlignment="1" applyProtection="1">
      <alignment horizontal="left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24" fillId="33" borderId="0" xfId="0" applyFont="1" applyFill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0" fillId="33" borderId="28" xfId="87" applyFill="1" applyBorder="1" applyAlignment="1" applyProtection="1">
      <alignment horizontal="left"/>
      <protection hidden="1"/>
    </xf>
    <xf numFmtId="172" fontId="19" fillId="34" borderId="12" xfId="87" applyNumberFormat="1" applyFont="1" applyFill="1" applyBorder="1" applyAlignment="1" applyProtection="1">
      <alignment horizontal="center"/>
      <protection hidden="1"/>
    </xf>
    <xf numFmtId="172" fontId="19" fillId="34" borderId="24" xfId="88" applyNumberFormat="1" applyFont="1" applyFill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39" fillId="33" borderId="0" xfId="0" applyFont="1" applyFill="1" applyBorder="1" applyAlignment="1">
      <alignment/>
    </xf>
    <xf numFmtId="0" fontId="0" fillId="33" borderId="28" xfId="88" applyFill="1" applyBorder="1">
      <alignment/>
      <protection/>
    </xf>
    <xf numFmtId="0" fontId="0" fillId="33" borderId="28" xfId="87" applyFont="1" applyFill="1" applyBorder="1">
      <alignment/>
      <protection/>
    </xf>
    <xf numFmtId="0" fontId="24" fillId="33" borderId="12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/>
    </xf>
    <xf numFmtId="0" fontId="40" fillId="33" borderId="24" xfId="87" applyFont="1" applyFill="1" applyBorder="1" applyAlignment="1" applyProtection="1">
      <alignment horizontal="left"/>
      <protection hidden="1"/>
    </xf>
    <xf numFmtId="172" fontId="19" fillId="40" borderId="12" xfId="88" applyNumberFormat="1" applyFont="1" applyFill="1" applyBorder="1" applyAlignment="1" applyProtection="1">
      <alignment horizontal="center"/>
      <protection hidden="1"/>
    </xf>
    <xf numFmtId="172" fontId="19" fillId="40" borderId="12" xfId="87" applyNumberFormat="1" applyFont="1" applyFill="1" applyBorder="1" applyAlignment="1" applyProtection="1">
      <alignment horizontal="center"/>
      <protection hidden="1"/>
    </xf>
    <xf numFmtId="172" fontId="19" fillId="40" borderId="28" xfId="88" applyNumberFormat="1" applyFont="1" applyFill="1" applyBorder="1" applyAlignment="1" applyProtection="1">
      <alignment horizontal="center"/>
      <protection hidden="1"/>
    </xf>
    <xf numFmtId="172" fontId="19" fillId="34" borderId="12" xfId="87" applyNumberFormat="1" applyFont="1" applyFill="1" applyBorder="1" applyAlignment="1" applyProtection="1">
      <alignment horizontal="center"/>
      <protection hidden="1"/>
    </xf>
    <xf numFmtId="172" fontId="19" fillId="34" borderId="0" xfId="87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72" fontId="19" fillId="40" borderId="12" xfId="87" applyNumberFormat="1" applyFont="1" applyFill="1" applyBorder="1" applyAlignment="1" applyProtection="1">
      <alignment horizontal="center"/>
      <protection hidden="1"/>
    </xf>
    <xf numFmtId="172" fontId="19" fillId="40" borderId="28" xfId="87" applyNumberFormat="1" applyFont="1" applyFill="1" applyBorder="1" applyAlignment="1" applyProtection="1">
      <alignment horizontal="center"/>
      <protection hidden="1"/>
    </xf>
    <xf numFmtId="172" fontId="19" fillId="40" borderId="35" xfId="88" applyNumberFormat="1" applyFont="1" applyFill="1" applyBorder="1" applyAlignment="1" applyProtection="1">
      <alignment horizontal="center"/>
      <protection hidden="1"/>
    </xf>
    <xf numFmtId="172" fontId="19" fillId="40" borderId="29" xfId="88" applyNumberFormat="1" applyFont="1" applyFill="1" applyBorder="1" applyAlignment="1" applyProtection="1">
      <alignment horizontal="center"/>
      <protection hidden="1"/>
    </xf>
    <xf numFmtId="172" fontId="19" fillId="40" borderId="12" xfId="88" applyNumberFormat="1" applyFont="1" applyFill="1" applyBorder="1" applyAlignment="1" applyProtection="1">
      <alignment horizontal="center"/>
      <protection hidden="1"/>
    </xf>
    <xf numFmtId="172" fontId="19" fillId="40" borderId="28" xfId="88" applyNumberFormat="1" applyFont="1" applyFill="1" applyBorder="1" applyAlignment="1" applyProtection="1">
      <alignment horizontal="center"/>
      <protection hidden="1"/>
    </xf>
    <xf numFmtId="172" fontId="19" fillId="40" borderId="15" xfId="0" applyNumberFormat="1" applyFont="1" applyFill="1" applyBorder="1" applyAlignment="1" applyProtection="1">
      <alignment horizontal="center"/>
      <protection hidden="1"/>
    </xf>
    <xf numFmtId="172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0" fillId="33" borderId="17" xfId="88" applyFont="1" applyFill="1" applyBorder="1">
      <alignment/>
      <protection/>
    </xf>
    <xf numFmtId="0" fontId="116" fillId="34" borderId="0" xfId="60" applyFont="1" applyFill="1" applyBorder="1" applyAlignment="1" applyProtection="1">
      <alignment horizontal="left" indent="3"/>
      <protection/>
    </xf>
    <xf numFmtId="172" fontId="19" fillId="40" borderId="24" xfId="88" applyNumberFormat="1" applyFont="1" applyFill="1" applyBorder="1" applyAlignment="1" applyProtection="1">
      <alignment horizontal="center"/>
      <protection hidden="1"/>
    </xf>
    <xf numFmtId="172" fontId="19" fillId="40" borderId="15" xfId="88" applyNumberFormat="1" applyFont="1" applyFill="1" applyBorder="1" applyAlignment="1" applyProtection="1">
      <alignment horizontal="center"/>
      <protection hidden="1"/>
    </xf>
    <xf numFmtId="172" fontId="19" fillId="40" borderId="17" xfId="88" applyNumberFormat="1" applyFont="1" applyFill="1" applyBorder="1" applyAlignment="1" applyProtection="1">
      <alignment horizontal="center"/>
      <protection hidden="1"/>
    </xf>
    <xf numFmtId="172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72" fontId="19" fillId="34" borderId="0" xfId="87" applyNumberFormat="1" applyFont="1" applyFill="1" applyBorder="1" applyAlignment="1" applyProtection="1">
      <alignment horizontal="center"/>
      <protection hidden="1"/>
    </xf>
    <xf numFmtId="0" fontId="116" fillId="34" borderId="0" xfId="60" applyFont="1" applyFill="1" applyBorder="1" applyAlignment="1" applyProtection="1">
      <alignment horizontal="left" wrapText="1" indent="3"/>
      <protection hidden="1"/>
    </xf>
    <xf numFmtId="0" fontId="116" fillId="0" borderId="0" xfId="60" applyFont="1" applyAlignment="1" applyProtection="1">
      <alignment horizontal="left" indent="3"/>
      <protection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0" fontId="49" fillId="29" borderId="15" xfId="0" applyFont="1" applyFill="1" applyBorder="1" applyAlignment="1">
      <alignment horizontal="left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72" fontId="19" fillId="34" borderId="12" xfId="87" applyNumberFormat="1" applyFont="1" applyFill="1" applyBorder="1" applyAlignment="1" applyProtection="1">
      <alignment horizontal="center"/>
      <protection hidden="1"/>
    </xf>
    <xf numFmtId="172" fontId="19" fillId="34" borderId="0" xfId="87" applyNumberFormat="1" applyFont="1" applyFill="1" applyBorder="1" applyAlignment="1" applyProtection="1">
      <alignment horizontal="center"/>
      <protection hidden="1"/>
    </xf>
    <xf numFmtId="172" fontId="19" fillId="40" borderId="12" xfId="87" applyNumberFormat="1" applyFont="1" applyFill="1" applyBorder="1" applyAlignment="1" applyProtection="1">
      <alignment horizont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172" fontId="19" fillId="40" borderId="17" xfId="0" applyNumberFormat="1" applyFont="1" applyFill="1" applyBorder="1" applyAlignment="1" applyProtection="1">
      <alignment horizontal="center"/>
      <protection hidden="1"/>
    </xf>
    <xf numFmtId="172" fontId="19" fillId="40" borderId="12" xfId="87" applyNumberFormat="1" applyFont="1" applyFill="1" applyBorder="1" applyAlignment="1" applyProtection="1">
      <alignment horizontal="center"/>
      <protection hidden="1"/>
    </xf>
    <xf numFmtId="172" fontId="19" fillId="40" borderId="28" xfId="87" applyNumberFormat="1" applyFont="1" applyFill="1" applyBorder="1" applyAlignment="1" applyProtection="1">
      <alignment horizontal="center"/>
      <protection hidden="1"/>
    </xf>
    <xf numFmtId="0" fontId="29" fillId="29" borderId="35" xfId="0" applyFont="1" applyFill="1" applyBorder="1" applyAlignment="1">
      <alignment horizontal="center" vertical="center"/>
    </xf>
    <xf numFmtId="0" fontId="29" fillId="29" borderId="34" xfId="0" applyFont="1" applyFill="1" applyBorder="1" applyAlignment="1">
      <alignment horizontal="center" vertical="center"/>
    </xf>
    <xf numFmtId="172" fontId="19" fillId="34" borderId="12" xfId="87" applyNumberFormat="1" applyFont="1" applyFill="1" applyBorder="1" applyAlignment="1" applyProtection="1">
      <alignment horizontal="center"/>
      <protection hidden="1"/>
    </xf>
    <xf numFmtId="172" fontId="19" fillId="34" borderId="0" xfId="87" applyNumberFormat="1" applyFont="1" applyFill="1" applyBorder="1" applyAlignment="1" applyProtection="1">
      <alignment horizontal="center"/>
      <protection hidden="1"/>
    </xf>
    <xf numFmtId="1" fontId="19" fillId="34" borderId="12" xfId="87" applyNumberFormat="1" applyFont="1" applyFill="1" applyBorder="1" applyAlignment="1" applyProtection="1">
      <alignment horizontal="center"/>
      <protection hidden="1"/>
    </xf>
    <xf numFmtId="1" fontId="19" fillId="34" borderId="0" xfId="87" applyNumberFormat="1" applyFont="1" applyFill="1" applyBorder="1" applyAlignment="1" applyProtection="1">
      <alignment horizontal="center"/>
      <protection hidden="1"/>
    </xf>
    <xf numFmtId="172" fontId="19" fillId="34" borderId="12" xfId="88" applyNumberFormat="1" applyFont="1" applyFill="1" applyBorder="1" applyAlignment="1" applyProtection="1">
      <alignment horizontal="center"/>
      <protection hidden="1"/>
    </xf>
    <xf numFmtId="172" fontId="19" fillId="34" borderId="30" xfId="88" applyNumberFormat="1" applyFont="1" applyFill="1" applyBorder="1" applyAlignment="1" applyProtection="1">
      <alignment horizontal="center"/>
      <protection hidden="1"/>
    </xf>
    <xf numFmtId="1" fontId="19" fillId="34" borderId="30" xfId="87" applyNumberFormat="1" applyFont="1" applyFill="1" applyBorder="1" applyAlignment="1" applyProtection="1">
      <alignment horizontal="center"/>
      <protection hidden="1"/>
    </xf>
    <xf numFmtId="172" fontId="19" fillId="34" borderId="0" xfId="88" applyNumberFormat="1" applyFont="1" applyFill="1" applyBorder="1" applyAlignment="1" applyProtection="1">
      <alignment horizontal="center"/>
      <protection hidden="1"/>
    </xf>
    <xf numFmtId="172" fontId="19" fillId="40" borderId="12" xfId="88" applyNumberFormat="1" applyFont="1" applyFill="1" applyBorder="1" applyAlignment="1" applyProtection="1">
      <alignment horizontal="center"/>
      <protection hidden="1"/>
    </xf>
    <xf numFmtId="172" fontId="19" fillId="40" borderId="30" xfId="88" applyNumberFormat="1" applyFont="1" applyFill="1" applyBorder="1" applyAlignment="1" applyProtection="1">
      <alignment horizontal="center"/>
      <protection hidden="1"/>
    </xf>
    <xf numFmtId="172" fontId="19" fillId="34" borderId="30" xfId="87" applyNumberFormat="1" applyFont="1" applyFill="1" applyBorder="1" applyAlignment="1" applyProtection="1">
      <alignment horizontal="center"/>
      <protection hidden="1"/>
    </xf>
    <xf numFmtId="172" fontId="19" fillId="34" borderId="28" xfId="87" applyNumberFormat="1" applyFont="1" applyFill="1" applyBorder="1" applyAlignment="1" applyProtection="1">
      <alignment horizontal="center"/>
      <protection hidden="1"/>
    </xf>
    <xf numFmtId="172" fontId="19" fillId="34" borderId="36" xfId="87" applyNumberFormat="1" applyFont="1" applyFill="1" applyBorder="1" applyAlignment="1" applyProtection="1">
      <alignment horizontal="center"/>
      <protection hidden="1"/>
    </xf>
    <xf numFmtId="172" fontId="19" fillId="40" borderId="0" xfId="88" applyNumberFormat="1" applyFont="1" applyFill="1" applyBorder="1" applyAlignment="1" applyProtection="1">
      <alignment horizontal="center"/>
      <protection hidden="1"/>
    </xf>
    <xf numFmtId="1" fontId="19" fillId="34" borderId="12" xfId="88" applyNumberFormat="1" applyFont="1" applyFill="1" applyBorder="1" applyAlignment="1" applyProtection="1">
      <alignment horizontal="center"/>
      <protection hidden="1"/>
    </xf>
    <xf numFmtId="1" fontId="19" fillId="34" borderId="0" xfId="88" applyNumberFormat="1" applyFont="1" applyFill="1" applyBorder="1" applyAlignment="1" applyProtection="1">
      <alignment horizontal="center"/>
      <protection hidden="1"/>
    </xf>
    <xf numFmtId="0" fontId="38" fillId="34" borderId="0" xfId="88" applyFont="1" applyFill="1" applyBorder="1" applyAlignment="1" applyProtection="1">
      <alignment horizontal="left"/>
      <protection hidden="1"/>
    </xf>
    <xf numFmtId="0" fontId="29" fillId="35" borderId="27" xfId="0" applyFont="1" applyFill="1" applyBorder="1" applyAlignment="1">
      <alignment horizontal="center" vertical="center"/>
    </xf>
    <xf numFmtId="0" fontId="29" fillId="34" borderId="12" xfId="87" applyFont="1" applyFill="1" applyBorder="1" applyAlignment="1" applyProtection="1">
      <alignment horizontal="left" vertical="center"/>
      <protection hidden="1"/>
    </xf>
    <xf numFmtId="0" fontId="29" fillId="34" borderId="0" xfId="87" applyFont="1" applyFill="1" applyBorder="1" applyAlignment="1" applyProtection="1">
      <alignment horizontal="left" vertical="center"/>
      <protection hidden="1"/>
    </xf>
    <xf numFmtId="172" fontId="19" fillId="34" borderId="28" xfId="88" applyNumberFormat="1" applyFont="1" applyFill="1" applyBorder="1" applyAlignment="1" applyProtection="1">
      <alignment horizontal="center"/>
      <protection hidden="1"/>
    </xf>
    <xf numFmtId="172" fontId="19" fillId="34" borderId="10" xfId="88" applyNumberFormat="1" applyFont="1" applyFill="1" applyBorder="1" applyAlignment="1" applyProtection="1">
      <alignment horizontal="center"/>
      <protection hidden="1"/>
    </xf>
    <xf numFmtId="172" fontId="19" fillId="40" borderId="35" xfId="88" applyNumberFormat="1" applyFont="1" applyFill="1" applyBorder="1" applyAlignment="1" applyProtection="1">
      <alignment horizontal="center"/>
      <protection hidden="1"/>
    </xf>
    <xf numFmtId="172" fontId="19" fillId="40" borderId="27" xfId="88" applyNumberFormat="1" applyFont="1" applyFill="1" applyBorder="1" applyAlignment="1" applyProtection="1">
      <alignment horizontal="center"/>
      <protection hidden="1"/>
    </xf>
    <xf numFmtId="172" fontId="19" fillId="40" borderId="12" xfId="87" applyNumberFormat="1" applyFont="1" applyFill="1" applyBorder="1" applyAlignment="1" applyProtection="1">
      <alignment horizontal="center"/>
      <protection hidden="1"/>
    </xf>
    <xf numFmtId="172" fontId="19" fillId="40" borderId="30" xfId="87" applyNumberFormat="1" applyFont="1" applyFill="1" applyBorder="1" applyAlignment="1" applyProtection="1">
      <alignment horizontal="center"/>
      <protection hidden="1"/>
    </xf>
    <xf numFmtId="172" fontId="19" fillId="34" borderId="36" xfId="88" applyNumberFormat="1" applyFont="1" applyFill="1" applyBorder="1" applyAlignment="1" applyProtection="1">
      <alignment horizontal="center"/>
      <protection hidden="1"/>
    </xf>
    <xf numFmtId="172" fontId="19" fillId="40" borderId="0" xfId="87" applyNumberFormat="1" applyFont="1" applyFill="1" applyBorder="1" applyAlignment="1" applyProtection="1">
      <alignment horizontal="center"/>
      <protection hidden="1"/>
    </xf>
    <xf numFmtId="0" fontId="29" fillId="34" borderId="12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/>
    </xf>
    <xf numFmtId="172" fontId="19" fillId="40" borderId="28" xfId="88" applyNumberFormat="1" applyFont="1" applyFill="1" applyBorder="1" applyAlignment="1" applyProtection="1">
      <alignment horizontal="center"/>
      <protection hidden="1"/>
    </xf>
    <xf numFmtId="0" fontId="0" fillId="40" borderId="10" xfId="0" applyFill="1" applyBorder="1" applyAlignment="1">
      <alignment horizontal="center"/>
    </xf>
    <xf numFmtId="1" fontId="19" fillId="34" borderId="30" xfId="88" applyNumberFormat="1" applyFont="1" applyFill="1" applyBorder="1" applyAlignment="1" applyProtection="1">
      <alignment horizontal="center"/>
      <protection hidden="1"/>
    </xf>
    <xf numFmtId="172" fontId="19" fillId="34" borderId="29" xfId="88" applyNumberFormat="1" applyFont="1" applyFill="1" applyBorder="1" applyAlignment="1" applyProtection="1">
      <alignment horizontal="center"/>
      <protection hidden="1"/>
    </xf>
    <xf numFmtId="172" fontId="19" fillId="34" borderId="45" xfId="88" applyNumberFormat="1" applyFont="1" applyFill="1" applyBorder="1" applyAlignment="1" applyProtection="1">
      <alignment horizontal="center"/>
      <protection hidden="1"/>
    </xf>
    <xf numFmtId="172" fontId="19" fillId="40" borderId="28" xfId="87" applyNumberFormat="1" applyFont="1" applyFill="1" applyBorder="1" applyAlignment="1" applyProtection="1">
      <alignment horizontal="center"/>
      <protection hidden="1"/>
    </xf>
    <xf numFmtId="172" fontId="19" fillId="40" borderId="10" xfId="87" applyNumberFormat="1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172" fontId="19" fillId="40" borderId="29" xfId="88" applyNumberFormat="1" applyFont="1" applyFill="1" applyBorder="1" applyAlignment="1" applyProtection="1">
      <alignment horizontal="center"/>
      <protection hidden="1"/>
    </xf>
    <xf numFmtId="0" fontId="0" fillId="40" borderId="4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72" fontId="19" fillId="34" borderId="29" xfId="87" applyNumberFormat="1" applyFont="1" applyFill="1" applyBorder="1" applyAlignment="1" applyProtection="1">
      <alignment horizontal="center"/>
      <protection hidden="1"/>
    </xf>
    <xf numFmtId="172" fontId="19" fillId="34" borderId="46" xfId="87" applyNumberFormat="1" applyFont="1" applyFill="1" applyBorder="1" applyAlignment="1" applyProtection="1">
      <alignment horizontal="center"/>
      <protection hidden="1"/>
    </xf>
    <xf numFmtId="1" fontId="19" fillId="40" borderId="12" xfId="87" applyNumberFormat="1" applyFont="1" applyFill="1" applyBorder="1" applyAlignment="1" applyProtection="1">
      <alignment horizontal="center"/>
      <protection hidden="1"/>
    </xf>
    <xf numFmtId="1" fontId="19" fillId="40" borderId="0" xfId="87" applyNumberFormat="1" applyFont="1" applyFill="1" applyBorder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1" fontId="19" fillId="34" borderId="28" xfId="87" applyNumberFormat="1" applyFont="1" applyFill="1" applyBorder="1" applyAlignment="1" applyProtection="1">
      <alignment horizontal="center"/>
      <protection hidden="1"/>
    </xf>
    <xf numFmtId="1" fontId="19" fillId="34" borderId="36" xfId="87" applyNumberFormat="1" applyFont="1" applyFill="1" applyBorder="1" applyAlignment="1" applyProtection="1">
      <alignment horizontal="center"/>
      <protection hidden="1"/>
    </xf>
    <xf numFmtId="172" fontId="19" fillId="34" borderId="45" xfId="87" applyNumberFormat="1" applyFont="1" applyFill="1" applyBorder="1" applyAlignment="1" applyProtection="1">
      <alignment horizontal="center"/>
      <protection hidden="1"/>
    </xf>
    <xf numFmtId="0" fontId="34" fillId="34" borderId="25" xfId="0" applyFont="1" applyFill="1" applyBorder="1" applyAlignment="1">
      <alignment horizontal="left"/>
    </xf>
    <xf numFmtId="0" fontId="34" fillId="34" borderId="10" xfId="0" applyFont="1" applyFill="1" applyBorder="1" applyAlignment="1">
      <alignment horizontal="left"/>
    </xf>
    <xf numFmtId="0" fontId="29" fillId="35" borderId="47" xfId="0" applyFont="1" applyFill="1" applyBorder="1" applyAlignment="1">
      <alignment horizontal="center" vertical="center"/>
    </xf>
    <xf numFmtId="0" fontId="29" fillId="35" borderId="48" xfId="0" applyFont="1" applyFill="1" applyBorder="1" applyAlignment="1">
      <alignment horizontal="center" vertical="center"/>
    </xf>
    <xf numFmtId="0" fontId="29" fillId="29" borderId="49" xfId="0" applyFont="1" applyFill="1" applyBorder="1" applyAlignment="1">
      <alignment horizontal="center"/>
    </xf>
    <xf numFmtId="0" fontId="29" fillId="29" borderId="44" xfId="0" applyFont="1" applyFill="1" applyBorder="1" applyAlignment="1">
      <alignment horizontal="center"/>
    </xf>
    <xf numFmtId="0" fontId="29" fillId="39" borderId="12" xfId="0" applyFont="1" applyFill="1" applyBorder="1" applyAlignment="1">
      <alignment horizontal="center"/>
    </xf>
    <xf numFmtId="0" fontId="29" fillId="39" borderId="0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left"/>
    </xf>
    <xf numFmtId="0" fontId="34" fillId="34" borderId="21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38" fillId="34" borderId="0" xfId="88" applyFont="1" applyFill="1" applyAlignment="1">
      <alignment horizontal="left"/>
      <protection/>
    </xf>
    <xf numFmtId="0" fontId="27" fillId="32" borderId="0" xfId="87" applyFont="1" applyFill="1" applyBorder="1" applyAlignment="1">
      <alignment horizontal="left"/>
      <protection/>
    </xf>
    <xf numFmtId="1" fontId="27" fillId="38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18" fillId="29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41" borderId="0" xfId="0" applyFont="1" applyFill="1" applyBorder="1" applyAlignment="1">
      <alignment horizontal="left"/>
    </xf>
    <xf numFmtId="0" fontId="63" fillId="33" borderId="14" xfId="88" applyFont="1" applyFill="1" applyBorder="1" applyAlignment="1">
      <alignment horizontal="left"/>
      <protection/>
    </xf>
    <xf numFmtId="0" fontId="63" fillId="33" borderId="0" xfId="88" applyFont="1" applyFill="1" applyBorder="1" applyAlignment="1">
      <alignment horizontal="left"/>
      <protection/>
    </xf>
    <xf numFmtId="0" fontId="63" fillId="33" borderId="42" xfId="88" applyFont="1" applyFill="1" applyBorder="1" applyAlignment="1">
      <alignment horizontal="left"/>
      <protection/>
    </xf>
    <xf numFmtId="0" fontId="38" fillId="34" borderId="0" xfId="87" applyFont="1" applyFill="1" applyAlignment="1">
      <alignment horizontal="left"/>
      <protection/>
    </xf>
    <xf numFmtId="0" fontId="38" fillId="33" borderId="38" xfId="87" applyFont="1" applyFill="1" applyBorder="1" applyAlignment="1">
      <alignment horizontal="left" wrapText="1"/>
      <protection/>
    </xf>
    <xf numFmtId="0" fontId="0" fillId="0" borderId="21" xfId="0" applyFont="1" applyBorder="1" applyAlignment="1">
      <alignment horizontal="left" wrapText="1"/>
    </xf>
    <xf numFmtId="1" fontId="19" fillId="34" borderId="28" xfId="88" applyNumberFormat="1" applyFont="1" applyFill="1" applyBorder="1" applyAlignment="1" applyProtection="1">
      <alignment horizontal="center"/>
      <protection hidden="1"/>
    </xf>
    <xf numFmtId="1" fontId="19" fillId="34" borderId="36" xfId="88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65" fillId="34" borderId="0" xfId="87" applyFont="1" applyFill="1" applyAlignment="1">
      <alignment horizontal="left" wrapText="1"/>
      <protection/>
    </xf>
    <xf numFmtId="0" fontId="29" fillId="29" borderId="49" xfId="0" applyFont="1" applyFill="1" applyBorder="1" applyAlignment="1">
      <alignment horizontal="center"/>
    </xf>
    <xf numFmtId="0" fontId="29" fillId="29" borderId="26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29" fillId="29" borderId="49" xfId="0" applyFont="1" applyFill="1" applyBorder="1" applyAlignment="1">
      <alignment horizontal="center" vertical="center"/>
    </xf>
    <xf numFmtId="0" fontId="29" fillId="29" borderId="26" xfId="0" applyFont="1" applyFill="1" applyBorder="1" applyAlignment="1">
      <alignment horizontal="center" vertical="center"/>
    </xf>
    <xf numFmtId="0" fontId="29" fillId="29" borderId="1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29" borderId="44" xfId="0" applyFont="1" applyFill="1" applyBorder="1" applyAlignment="1">
      <alignment horizontal="center"/>
    </xf>
    <xf numFmtId="0" fontId="19" fillId="34" borderId="28" xfId="87" applyNumberFormat="1" applyFont="1" applyFill="1" applyBorder="1" applyAlignment="1" applyProtection="1">
      <alignment horizontal="center"/>
      <protection hidden="1"/>
    </xf>
    <xf numFmtId="0" fontId="19" fillId="34" borderId="36" xfId="87" applyNumberFormat="1" applyFont="1" applyFill="1" applyBorder="1" applyAlignment="1" applyProtection="1">
      <alignment horizontal="center"/>
      <protection hidden="1"/>
    </xf>
    <xf numFmtId="0" fontId="34" fillId="34" borderId="12" xfId="87" applyFont="1" applyFill="1" applyBorder="1" applyAlignment="1" applyProtection="1">
      <alignment horizontal="left"/>
      <protection hidden="1"/>
    </xf>
    <xf numFmtId="0" fontId="34" fillId="34" borderId="0" xfId="87" applyFont="1" applyFill="1" applyBorder="1" applyAlignment="1" applyProtection="1">
      <alignment horizontal="left"/>
      <protection hidden="1"/>
    </xf>
    <xf numFmtId="0" fontId="24" fillId="33" borderId="0" xfId="0" applyFont="1" applyFill="1" applyBorder="1" applyAlignment="1">
      <alignment horizontal="center"/>
    </xf>
    <xf numFmtId="172" fontId="19" fillId="34" borderId="10" xfId="87" applyNumberFormat="1" applyFont="1" applyFill="1" applyBorder="1" applyAlignment="1" applyProtection="1">
      <alignment horizontal="center"/>
      <protection hidden="1"/>
    </xf>
    <xf numFmtId="0" fontId="29" fillId="34" borderId="12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29" fillId="29" borderId="35" xfId="0" applyFont="1" applyFill="1" applyBorder="1" applyAlignment="1">
      <alignment horizontal="center"/>
    </xf>
    <xf numFmtId="0" fontId="29" fillId="29" borderId="27" xfId="0" applyFont="1" applyFill="1" applyBorder="1" applyAlignment="1">
      <alignment horizontal="center"/>
    </xf>
    <xf numFmtId="1" fontId="27" fillId="32" borderId="0" xfId="0" applyNumberFormat="1" applyFont="1" applyFill="1" applyBorder="1" applyAlignment="1">
      <alignment horizontal="left" wrapText="1"/>
    </xf>
    <xf numFmtId="0" fontId="27" fillId="33" borderId="21" xfId="0" applyFont="1" applyFill="1" applyBorder="1" applyAlignment="1" applyProtection="1">
      <alignment wrapText="1"/>
      <protection hidden="1"/>
    </xf>
    <xf numFmtId="0" fontId="27" fillId="33" borderId="0" xfId="0" applyFont="1" applyFill="1" applyBorder="1" applyAlignment="1" applyProtection="1">
      <alignment wrapText="1"/>
      <protection hidden="1"/>
    </xf>
    <xf numFmtId="0" fontId="29" fillId="35" borderId="44" xfId="0" applyFont="1" applyFill="1" applyBorder="1" applyAlignment="1">
      <alignment horizontal="center" vertical="center"/>
    </xf>
    <xf numFmtId="0" fontId="119" fillId="33" borderId="0" xfId="88" applyFont="1" applyFill="1" applyBorder="1" applyAlignment="1" applyProtection="1">
      <alignment horizontal="left" wrapText="1"/>
      <protection hidden="1"/>
    </xf>
    <xf numFmtId="0" fontId="120" fillId="0" borderId="0" xfId="0" applyFont="1" applyAlignment="1">
      <alignment horizontal="left" wrapText="1"/>
    </xf>
    <xf numFmtId="0" fontId="29" fillId="34" borderId="12" xfId="87" applyFont="1" applyFill="1" applyBorder="1" applyAlignment="1" applyProtection="1">
      <alignment horizontal="center" vertical="center"/>
      <protection hidden="1"/>
    </xf>
    <xf numFmtId="0" fontId="29" fillId="34" borderId="0" xfId="87" applyFont="1" applyFill="1" applyBorder="1" applyAlignment="1" applyProtection="1">
      <alignment horizontal="center" vertical="center"/>
      <protection hidden="1"/>
    </xf>
    <xf numFmtId="1" fontId="19" fillId="34" borderId="0" xfId="0" applyNumberFormat="1" applyFont="1" applyFill="1" applyBorder="1" applyAlignment="1" applyProtection="1">
      <alignment horizontal="center"/>
      <protection hidden="1"/>
    </xf>
    <xf numFmtId="0" fontId="116" fillId="34" borderId="0" xfId="60" applyFont="1" applyFill="1" applyBorder="1" applyAlignment="1" applyProtection="1">
      <alignment horizontal="left" wrapText="1" indent="3"/>
      <protection hidden="1"/>
    </xf>
    <xf numFmtId="0" fontId="116" fillId="0" borderId="0" xfId="60" applyFont="1" applyAlignment="1" applyProtection="1">
      <alignment horizontal="left" wrapText="1" indent="3"/>
      <protection/>
    </xf>
    <xf numFmtId="0" fontId="116" fillId="0" borderId="0" xfId="60" applyFont="1" applyAlignment="1" applyProtection="1">
      <alignment horizontal="left" indent="3"/>
      <protection/>
    </xf>
    <xf numFmtId="172" fontId="19" fillId="40" borderId="35" xfId="87" applyNumberFormat="1" applyFont="1" applyFill="1" applyBorder="1" applyAlignment="1" applyProtection="1">
      <alignment horizontal="center"/>
      <protection hidden="1"/>
    </xf>
    <xf numFmtId="172" fontId="19" fillId="40" borderId="34" xfId="87" applyNumberFormat="1" applyFont="1" applyFill="1" applyBorder="1" applyAlignment="1" applyProtection="1">
      <alignment horizontal="center"/>
      <protection hidden="1"/>
    </xf>
    <xf numFmtId="0" fontId="19" fillId="34" borderId="12" xfId="87" applyNumberFormat="1" applyFont="1" applyFill="1" applyBorder="1" applyAlignment="1" applyProtection="1">
      <alignment horizontal="center"/>
      <protection hidden="1"/>
    </xf>
    <xf numFmtId="0" fontId="19" fillId="34" borderId="30" xfId="87" applyNumberFormat="1" applyFont="1" applyFill="1" applyBorder="1" applyAlignment="1" applyProtection="1">
      <alignment horizontal="center"/>
      <protection hidden="1"/>
    </xf>
    <xf numFmtId="0" fontId="19" fillId="34" borderId="29" xfId="88" applyNumberFormat="1" applyFont="1" applyFill="1" applyBorder="1" applyAlignment="1" applyProtection="1">
      <alignment horizontal="center"/>
      <protection hidden="1"/>
    </xf>
    <xf numFmtId="0" fontId="19" fillId="34" borderId="45" xfId="88" applyNumberFormat="1" applyFont="1" applyFill="1" applyBorder="1" applyAlignment="1" applyProtection="1">
      <alignment horizontal="center"/>
      <protection hidden="1"/>
    </xf>
    <xf numFmtId="0" fontId="19" fillId="34" borderId="12" xfId="88" applyNumberFormat="1" applyFont="1" applyFill="1" applyBorder="1" applyAlignment="1" applyProtection="1">
      <alignment horizontal="center"/>
      <protection hidden="1"/>
    </xf>
    <xf numFmtId="0" fontId="19" fillId="34" borderId="30" xfId="88" applyNumberFormat="1" applyFont="1" applyFill="1" applyBorder="1" applyAlignment="1" applyProtection="1">
      <alignment horizontal="center"/>
      <protection hidden="1"/>
    </xf>
    <xf numFmtId="0" fontId="29" fillId="34" borderId="12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7" fillId="34" borderId="0" xfId="87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27" fillId="33" borderId="45" xfId="87" applyFont="1" applyFill="1" applyBorder="1" applyAlignment="1">
      <alignment horizontal="left"/>
      <protection/>
    </xf>
    <xf numFmtId="172" fontId="19" fillId="40" borderId="36" xfId="88" applyNumberFormat="1" applyFont="1" applyFill="1" applyBorder="1" applyAlignment="1" applyProtection="1">
      <alignment horizontal="center"/>
      <protection hidden="1"/>
    </xf>
    <xf numFmtId="1" fontId="19" fillId="40" borderId="29" xfId="88" applyNumberFormat="1" applyFont="1" applyFill="1" applyBorder="1" applyAlignment="1" applyProtection="1">
      <alignment horizontal="center"/>
      <protection hidden="1"/>
    </xf>
    <xf numFmtId="1" fontId="19" fillId="40" borderId="46" xfId="88" applyNumberFormat="1" applyFont="1" applyFill="1" applyBorder="1" applyAlignment="1" applyProtection="1">
      <alignment horizontal="center"/>
      <protection hidden="1"/>
    </xf>
    <xf numFmtId="0" fontId="29" fillId="29" borderId="35" xfId="91" applyFont="1" applyFill="1" applyBorder="1" applyAlignment="1">
      <alignment horizontal="center" vertical="center"/>
      <protection/>
    </xf>
    <xf numFmtId="0" fontId="29" fillId="29" borderId="34" xfId="91" applyFont="1" applyFill="1" applyBorder="1" applyAlignment="1">
      <alignment horizontal="center" vertical="center"/>
      <protection/>
    </xf>
    <xf numFmtId="172" fontId="19" fillId="40" borderId="36" xfId="87" applyNumberFormat="1" applyFont="1" applyFill="1" applyBorder="1" applyAlignment="1" applyProtection="1">
      <alignment horizontal="center"/>
      <protection hidden="1"/>
    </xf>
    <xf numFmtId="1" fontId="38" fillId="33" borderId="21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29" fillId="35" borderId="47" xfId="0" applyFont="1" applyFill="1" applyBorder="1" applyAlignment="1">
      <alignment horizontal="center" vertical="center"/>
    </xf>
    <xf numFmtId="0" fontId="29" fillId="35" borderId="48" xfId="0" applyFont="1" applyFill="1" applyBorder="1" applyAlignment="1">
      <alignment horizontal="center" vertical="center"/>
    </xf>
    <xf numFmtId="0" fontId="19" fillId="34" borderId="12" xfId="87" applyFont="1" applyFill="1" applyBorder="1" applyAlignment="1" applyProtection="1">
      <alignment horizontal="center"/>
      <protection hidden="1"/>
    </xf>
    <xf numFmtId="0" fontId="19" fillId="34" borderId="0" xfId="87" applyFont="1" applyFill="1" applyBorder="1" applyAlignment="1" applyProtection="1">
      <alignment horizontal="center"/>
      <protection hidden="1"/>
    </xf>
    <xf numFmtId="0" fontId="27" fillId="33" borderId="10" xfId="0" applyFont="1" applyFill="1" applyBorder="1" applyAlignment="1">
      <alignment horizontal="center"/>
    </xf>
    <xf numFmtId="0" fontId="38" fillId="34" borderId="0" xfId="87" applyFont="1" applyFill="1" applyBorder="1" applyAlignment="1" applyProtection="1">
      <alignment horizontal="left"/>
      <protection hidden="1"/>
    </xf>
    <xf numFmtId="0" fontId="24" fillId="33" borderId="0" xfId="0" applyFont="1" applyFill="1" applyAlignment="1">
      <alignment horizontal="center"/>
    </xf>
    <xf numFmtId="172" fontId="19" fillId="40" borderId="10" xfId="88" applyNumberFormat="1" applyFont="1" applyFill="1" applyBorder="1" applyAlignment="1" applyProtection="1">
      <alignment horizontal="center"/>
      <protection hidden="1"/>
    </xf>
    <xf numFmtId="0" fontId="19" fillId="34" borderId="12" xfId="87" applyFont="1" applyFill="1" applyBorder="1" applyAlignment="1" applyProtection="1">
      <alignment horizontal="center"/>
      <protection hidden="1"/>
    </xf>
    <xf numFmtId="0" fontId="19" fillId="34" borderId="0" xfId="87" applyFont="1" applyFill="1" applyBorder="1" applyAlignment="1" applyProtection="1">
      <alignment horizontal="center"/>
      <protection hidden="1"/>
    </xf>
    <xf numFmtId="0" fontId="19" fillId="34" borderId="0" xfId="88" applyNumberFormat="1" applyFont="1" applyFill="1" applyBorder="1" applyAlignment="1" applyProtection="1">
      <alignment horizontal="center"/>
      <protection hidden="1"/>
    </xf>
    <xf numFmtId="172" fontId="19" fillId="34" borderId="35" xfId="87" applyNumberFormat="1" applyFont="1" applyFill="1" applyBorder="1" applyAlignment="1" applyProtection="1">
      <alignment horizontal="center"/>
      <protection hidden="1"/>
    </xf>
    <xf numFmtId="172" fontId="19" fillId="34" borderId="34" xfId="87" applyNumberFormat="1" applyFont="1" applyFill="1" applyBorder="1" applyAlignment="1" applyProtection="1">
      <alignment horizontal="center"/>
      <protection hidden="1"/>
    </xf>
    <xf numFmtId="173" fontId="19" fillId="34" borderId="28" xfId="87" applyNumberFormat="1" applyFont="1" applyFill="1" applyBorder="1" applyAlignment="1" applyProtection="1">
      <alignment horizontal="center"/>
      <protection hidden="1"/>
    </xf>
    <xf numFmtId="173" fontId="19" fillId="34" borderId="36" xfId="87" applyNumberFormat="1" applyFont="1" applyFill="1" applyBorder="1" applyAlignment="1" applyProtection="1">
      <alignment horizontal="center"/>
      <protection hidden="1"/>
    </xf>
    <xf numFmtId="172" fontId="19" fillId="40" borderId="45" xfId="88" applyNumberFormat="1" applyFont="1" applyFill="1" applyBorder="1" applyAlignment="1" applyProtection="1">
      <alignment horizontal="center"/>
      <protection hidden="1"/>
    </xf>
    <xf numFmtId="0" fontId="19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9" fillId="29" borderId="26" xfId="0" applyFont="1" applyFill="1" applyBorder="1" applyAlignment="1">
      <alignment horizontal="center"/>
    </xf>
    <xf numFmtId="0" fontId="29" fillId="34" borderId="0" xfId="87" applyFont="1" applyFill="1" applyBorder="1" applyAlignment="1" applyProtection="1">
      <alignment horizontal="center"/>
      <protection hidden="1"/>
    </xf>
    <xf numFmtId="0" fontId="29" fillId="35" borderId="13" xfId="0" applyFont="1" applyFill="1" applyBorder="1" applyAlignment="1">
      <alignment horizontal="center" vertical="center"/>
    </xf>
    <xf numFmtId="0" fontId="29" fillId="29" borderId="18" xfId="0" applyFont="1" applyFill="1" applyBorder="1" applyAlignment="1">
      <alignment horizontal="center"/>
    </xf>
    <xf numFmtId="0" fontId="29" fillId="29" borderId="15" xfId="0" applyFont="1" applyFill="1" applyBorder="1" applyAlignment="1">
      <alignment horizontal="center"/>
    </xf>
    <xf numFmtId="0" fontId="29" fillId="29" borderId="11" xfId="0" applyFont="1" applyFill="1" applyBorder="1" applyAlignment="1">
      <alignment horizontal="center"/>
    </xf>
    <xf numFmtId="0" fontId="29" fillId="35" borderId="1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7" fillId="33" borderId="14" xfId="88" applyFont="1" applyFill="1" applyBorder="1" applyAlignment="1">
      <alignment horizontal="left" wrapText="1"/>
      <protection/>
    </xf>
    <xf numFmtId="0" fontId="27" fillId="33" borderId="0" xfId="88" applyFont="1" applyFill="1" applyBorder="1" applyAlignment="1">
      <alignment horizontal="left" wrapText="1"/>
      <protection/>
    </xf>
    <xf numFmtId="0" fontId="24" fillId="33" borderId="50" xfId="88" applyFont="1" applyFill="1" applyBorder="1" applyAlignment="1">
      <alignment horizontal="left" wrapText="1"/>
      <protection/>
    </xf>
    <xf numFmtId="0" fontId="24" fillId="33" borderId="51" xfId="88" applyFont="1" applyFill="1" applyBorder="1" applyAlignment="1">
      <alignment horizontal="left" wrapText="1"/>
      <protection/>
    </xf>
    <xf numFmtId="0" fontId="21" fillId="33" borderId="0" xfId="88" applyFont="1" applyFill="1" applyAlignment="1">
      <alignment horizontal="left"/>
      <protection/>
    </xf>
    <xf numFmtId="1" fontId="19" fillId="34" borderId="12" xfId="0" applyNumberFormat="1" applyFont="1" applyFill="1" applyBorder="1" applyAlignment="1" applyProtection="1">
      <alignment horizontal="center"/>
      <protection hidden="1"/>
    </xf>
    <xf numFmtId="1" fontId="19" fillId="40" borderId="12" xfId="88" applyNumberFormat="1" applyFont="1" applyFill="1" applyBorder="1" applyAlignment="1" applyProtection="1">
      <alignment horizontal="center"/>
      <protection hidden="1"/>
    </xf>
    <xf numFmtId="1" fontId="19" fillId="40" borderId="30" xfId="88" applyNumberFormat="1" applyFont="1" applyFill="1" applyBorder="1" applyAlignment="1" applyProtection="1">
      <alignment horizontal="center"/>
      <protection hidden="1"/>
    </xf>
    <xf numFmtId="0" fontId="38" fillId="33" borderId="25" xfId="0" applyFont="1" applyFill="1" applyBorder="1" applyAlignment="1">
      <alignment horizontal="left"/>
    </xf>
    <xf numFmtId="0" fontId="38" fillId="33" borderId="21" xfId="0" applyFont="1" applyFill="1" applyBorder="1" applyAlignment="1">
      <alignment horizontal="left"/>
    </xf>
    <xf numFmtId="172" fontId="19" fillId="34" borderId="35" xfId="88" applyNumberFormat="1" applyFont="1" applyFill="1" applyBorder="1" applyAlignment="1" applyProtection="1">
      <alignment horizontal="center"/>
      <protection hidden="1"/>
    </xf>
    <xf numFmtId="172" fontId="19" fillId="34" borderId="27" xfId="88" applyNumberFormat="1" applyFont="1" applyFill="1" applyBorder="1" applyAlignment="1" applyProtection="1">
      <alignment horizontal="center"/>
      <protection hidden="1"/>
    </xf>
    <xf numFmtId="0" fontId="23" fillId="33" borderId="0" xfId="0" applyFont="1" applyFill="1" applyBorder="1" applyAlignment="1">
      <alignment horizontal="center"/>
    </xf>
    <xf numFmtId="0" fontId="34" fillId="34" borderId="38" xfId="0" applyFont="1" applyFill="1" applyBorder="1" applyAlignment="1">
      <alignment horizontal="left"/>
    </xf>
    <xf numFmtId="0" fontId="38" fillId="33" borderId="0" xfId="87" applyFont="1" applyFill="1" applyBorder="1" applyAlignment="1">
      <alignment horizontal="left"/>
      <protection/>
    </xf>
    <xf numFmtId="173" fontId="19" fillId="34" borderId="12" xfId="87" applyNumberFormat="1" applyFont="1" applyFill="1" applyBorder="1" applyAlignment="1" applyProtection="1">
      <alignment horizontal="center"/>
      <protection hidden="1"/>
    </xf>
    <xf numFmtId="173" fontId="19" fillId="34" borderId="30" xfId="87" applyNumberFormat="1" applyFont="1" applyFill="1" applyBorder="1" applyAlignment="1" applyProtection="1">
      <alignment horizontal="center"/>
      <protection hidden="1"/>
    </xf>
    <xf numFmtId="0" fontId="24" fillId="33" borderId="0" xfId="0" applyFont="1" applyFill="1" applyAlignment="1">
      <alignment horizontal="center" vertical="center"/>
    </xf>
    <xf numFmtId="0" fontId="34" fillId="34" borderId="38" xfId="0" applyFont="1" applyFill="1" applyBorder="1" applyAlignment="1">
      <alignment/>
    </xf>
    <xf numFmtId="0" fontId="34" fillId="34" borderId="21" xfId="0" applyFont="1" applyFill="1" applyBorder="1" applyAlignment="1">
      <alignment/>
    </xf>
    <xf numFmtId="0" fontId="71" fillId="33" borderId="21" xfId="0" applyFont="1" applyFill="1" applyBorder="1" applyAlignment="1">
      <alignment horizontal="left" wrapText="1"/>
    </xf>
    <xf numFmtId="172" fontId="19" fillId="40" borderId="46" xfId="88" applyNumberFormat="1" applyFont="1" applyFill="1" applyBorder="1" applyAlignment="1" applyProtection="1">
      <alignment horizontal="center"/>
      <protection hidden="1"/>
    </xf>
    <xf numFmtId="0" fontId="24" fillId="33" borderId="0" xfId="0" applyFont="1" applyFill="1" applyAlignment="1">
      <alignment horizontal="center"/>
    </xf>
    <xf numFmtId="1" fontId="27" fillId="33" borderId="0" xfId="87" applyNumberFormat="1" applyFont="1" applyFill="1" applyBorder="1" applyAlignment="1" applyProtection="1">
      <alignment horizontal="left"/>
      <protection hidden="1"/>
    </xf>
    <xf numFmtId="0" fontId="27" fillId="32" borderId="0" xfId="87" applyFont="1" applyFill="1" applyAlignment="1">
      <alignment horizontal="left"/>
      <protection/>
    </xf>
    <xf numFmtId="0" fontId="0" fillId="0" borderId="0" xfId="0" applyAlignment="1">
      <alignment horizontal="left"/>
    </xf>
    <xf numFmtId="0" fontId="24" fillId="33" borderId="0" xfId="0" applyFont="1" applyFill="1" applyBorder="1" applyAlignment="1">
      <alignment horizontal="center"/>
    </xf>
    <xf numFmtId="0" fontId="69" fillId="33" borderId="0" xfId="87" applyFont="1" applyFill="1" applyBorder="1" applyAlignment="1" applyProtection="1">
      <alignment horizontal="left" wrapText="1"/>
      <protection hidden="1"/>
    </xf>
    <xf numFmtId="0" fontId="34" fillId="33" borderId="35" xfId="88" applyFont="1" applyFill="1" applyBorder="1" applyAlignment="1" applyProtection="1">
      <alignment horizontal="left"/>
      <protection hidden="1"/>
    </xf>
    <xf numFmtId="0" fontId="34" fillId="33" borderId="27" xfId="88" applyFont="1" applyFill="1" applyBorder="1" applyAlignment="1" applyProtection="1">
      <alignment horizontal="left"/>
      <protection hidden="1"/>
    </xf>
    <xf numFmtId="0" fontId="34" fillId="33" borderId="34" xfId="88" applyFont="1" applyFill="1" applyBorder="1" applyAlignment="1" applyProtection="1">
      <alignment horizontal="left"/>
      <protection hidden="1"/>
    </xf>
    <xf numFmtId="1" fontId="19" fillId="34" borderId="35" xfId="87" applyNumberFormat="1" applyFont="1" applyFill="1" applyBorder="1" applyAlignment="1" applyProtection="1">
      <alignment horizontal="center"/>
      <protection hidden="1"/>
    </xf>
    <xf numFmtId="1" fontId="19" fillId="34" borderId="34" xfId="87" applyNumberFormat="1" applyFont="1" applyFill="1" applyBorder="1" applyAlignment="1" applyProtection="1">
      <alignment horizontal="center"/>
      <protection hidden="1"/>
    </xf>
    <xf numFmtId="1" fontId="19" fillId="34" borderId="10" xfId="88" applyNumberFormat="1" applyFont="1" applyFill="1" applyBorder="1" applyAlignment="1" applyProtection="1">
      <alignment horizontal="center"/>
      <protection hidden="1"/>
    </xf>
    <xf numFmtId="0" fontId="34" fillId="33" borderId="29" xfId="87" applyFont="1" applyFill="1" applyBorder="1" applyAlignment="1" applyProtection="1">
      <alignment horizontal="left"/>
      <protection hidden="1"/>
    </xf>
    <xf numFmtId="0" fontId="34" fillId="33" borderId="45" xfId="87" applyFont="1" applyFill="1" applyBorder="1" applyAlignment="1" applyProtection="1">
      <alignment horizontal="left"/>
      <protection hidden="1"/>
    </xf>
    <xf numFmtId="1" fontId="29" fillId="33" borderId="1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29" fillId="33" borderId="0" xfId="0" applyNumberFormat="1" applyFont="1" applyFill="1" applyBorder="1" applyAlignment="1">
      <alignment horizontal="center" vertical="center"/>
    </xf>
    <xf numFmtId="1" fontId="19" fillId="40" borderId="28" xfId="88" applyNumberFormat="1" applyFont="1" applyFill="1" applyBorder="1" applyAlignment="1" applyProtection="1">
      <alignment horizontal="center"/>
      <protection hidden="1"/>
    </xf>
    <xf numFmtId="1" fontId="19" fillId="40" borderId="36" xfId="88" applyNumberFormat="1" applyFont="1" applyFill="1" applyBorder="1" applyAlignment="1" applyProtection="1">
      <alignment horizontal="center"/>
      <protection hidden="1"/>
    </xf>
    <xf numFmtId="0" fontId="34" fillId="33" borderId="21" xfId="87" applyFont="1" applyFill="1" applyBorder="1" applyAlignment="1">
      <alignment horizontal="left"/>
      <protection/>
    </xf>
    <xf numFmtId="1" fontId="19" fillId="40" borderId="29" xfId="87" applyNumberFormat="1" applyFont="1" applyFill="1" applyBorder="1" applyAlignment="1" applyProtection="1">
      <alignment horizontal="center"/>
      <protection hidden="1"/>
    </xf>
    <xf numFmtId="1" fontId="19" fillId="40" borderId="46" xfId="87" applyNumberFormat="1" applyFont="1" applyFill="1" applyBorder="1" applyAlignment="1" applyProtection="1">
      <alignment horizontal="center"/>
      <protection hidden="1"/>
    </xf>
    <xf numFmtId="1" fontId="19" fillId="40" borderId="30" xfId="87" applyNumberFormat="1" applyFont="1" applyFill="1" applyBorder="1" applyAlignment="1" applyProtection="1">
      <alignment horizontal="center"/>
      <protection hidden="1"/>
    </xf>
    <xf numFmtId="0" fontId="39" fillId="33" borderId="25" xfId="0" applyFont="1" applyFill="1" applyBorder="1" applyAlignment="1">
      <alignment horizontal="left"/>
    </xf>
    <xf numFmtId="0" fontId="39" fillId="33" borderId="37" xfId="0" applyFont="1" applyFill="1" applyBorder="1" applyAlignment="1">
      <alignment horizontal="left"/>
    </xf>
    <xf numFmtId="0" fontId="34" fillId="33" borderId="21" xfId="87" applyFont="1" applyFill="1" applyBorder="1" applyAlignment="1" applyProtection="1">
      <alignment horizontal="left" wrapText="1"/>
      <protection hidden="1"/>
    </xf>
    <xf numFmtId="0" fontId="34" fillId="33" borderId="0" xfId="87" applyFont="1" applyFill="1" applyBorder="1" applyAlignment="1" applyProtection="1">
      <alignment horizontal="left" wrapText="1"/>
      <protection hidden="1"/>
    </xf>
    <xf numFmtId="0" fontId="0" fillId="0" borderId="0" xfId="0" applyBorder="1" applyAlignment="1">
      <alignment wrapText="1"/>
    </xf>
    <xf numFmtId="172" fontId="19" fillId="34" borderId="34" xfId="88" applyNumberFormat="1" applyFont="1" applyFill="1" applyBorder="1" applyAlignment="1" applyProtection="1">
      <alignment horizontal="center"/>
      <protection hidden="1"/>
    </xf>
    <xf numFmtId="0" fontId="34" fillId="34" borderId="0" xfId="88" applyFont="1" applyFill="1" applyBorder="1" applyAlignment="1" applyProtection="1">
      <alignment horizontal="left"/>
      <protection hidden="1"/>
    </xf>
    <xf numFmtId="0" fontId="27" fillId="34" borderId="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7" fillId="32" borderId="0" xfId="87" applyFont="1" applyFill="1" applyBorder="1" applyAlignment="1">
      <alignment horizontal="left" wrapText="1"/>
      <protection/>
    </xf>
    <xf numFmtId="0" fontId="32" fillId="29" borderId="18" xfId="0" applyFont="1" applyFill="1" applyBorder="1" applyAlignment="1">
      <alignment horizontal="center"/>
    </xf>
    <xf numFmtId="0" fontId="32" fillId="29" borderId="1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8" fillId="33" borderId="14" xfId="88" applyFont="1" applyFill="1" applyBorder="1" applyAlignment="1">
      <alignment horizontal="left"/>
      <protection/>
    </xf>
    <xf numFmtId="0" fontId="38" fillId="33" borderId="0" xfId="88" applyFont="1" applyFill="1" applyBorder="1" applyAlignment="1">
      <alignment horizontal="left"/>
      <protection/>
    </xf>
    <xf numFmtId="0" fontId="62" fillId="33" borderId="0" xfId="88" applyFont="1" applyFill="1" applyAlignment="1">
      <alignment horizontal="left"/>
      <protection/>
    </xf>
    <xf numFmtId="0" fontId="27" fillId="34" borderId="21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21" fillId="33" borderId="0" xfId="0" applyFont="1" applyFill="1" applyBorder="1" applyAlignment="1" applyProtection="1">
      <alignment horizontal="left"/>
      <protection hidden="1"/>
    </xf>
    <xf numFmtId="0" fontId="55" fillId="33" borderId="0" xfId="88" applyFont="1" applyFill="1" applyAlignment="1">
      <alignment horizontal="left"/>
      <protection/>
    </xf>
    <xf numFmtId="0" fontId="38" fillId="0" borderId="21" xfId="0" applyFont="1" applyBorder="1" applyAlignment="1">
      <alignment/>
    </xf>
    <xf numFmtId="0" fontId="38" fillId="0" borderId="0" xfId="0" applyFont="1" applyBorder="1" applyAlignment="1">
      <alignment/>
    </xf>
    <xf numFmtId="0" fontId="29" fillId="29" borderId="52" xfId="0" applyFont="1" applyFill="1" applyBorder="1" applyAlignment="1">
      <alignment horizontal="center" vertical="center"/>
    </xf>
    <xf numFmtId="0" fontId="29" fillId="29" borderId="34" xfId="0" applyFont="1" applyFill="1" applyBorder="1" applyAlignment="1">
      <alignment horizontal="center" vertical="center"/>
    </xf>
    <xf numFmtId="0" fontId="29" fillId="29" borderId="53" xfId="0" applyFont="1" applyFill="1" applyBorder="1" applyAlignment="1">
      <alignment horizontal="center" vertical="center"/>
    </xf>
    <xf numFmtId="0" fontId="29" fillId="34" borderId="12" xfId="88" applyFont="1" applyFill="1" applyBorder="1" applyAlignment="1" applyProtection="1">
      <alignment horizontal="center" vertical="center"/>
      <protection hidden="1"/>
    </xf>
    <xf numFmtId="0" fontId="29" fillId="34" borderId="0" xfId="88" applyFont="1" applyFill="1" applyBorder="1" applyAlignment="1" applyProtection="1">
      <alignment horizontal="center" vertical="center"/>
      <protection hidden="1"/>
    </xf>
    <xf numFmtId="0" fontId="39" fillId="0" borderId="54" xfId="0" applyFont="1" applyBorder="1" applyAlignment="1">
      <alignment horizontal="left"/>
    </xf>
    <xf numFmtId="0" fontId="39" fillId="0" borderId="25" xfId="0" applyFont="1" applyBorder="1" applyAlignment="1">
      <alignment horizontal="left"/>
    </xf>
    <xf numFmtId="0" fontId="24" fillId="33" borderId="0" xfId="87" applyFont="1" applyFill="1" applyBorder="1" applyAlignment="1" applyProtection="1">
      <alignment horizontal="center"/>
      <protection hidden="1"/>
    </xf>
    <xf numFmtId="0" fontId="73" fillId="33" borderId="39" xfId="60" applyFont="1" applyFill="1" applyBorder="1" applyAlignment="1" applyProtection="1">
      <alignment horizontal="center" wrapText="1"/>
      <protection/>
    </xf>
    <xf numFmtId="0" fontId="73" fillId="33" borderId="40" xfId="60" applyFont="1" applyFill="1" applyBorder="1" applyAlignment="1" applyProtection="1">
      <alignment horizontal="center" wrapText="1"/>
      <protection/>
    </xf>
    <xf numFmtId="0" fontId="73" fillId="33" borderId="41" xfId="60" applyFont="1" applyFill="1" applyBorder="1" applyAlignment="1" applyProtection="1">
      <alignment horizontal="center" wrapText="1"/>
      <protection/>
    </xf>
    <xf numFmtId="0" fontId="20" fillId="37" borderId="0" xfId="0" applyFont="1" applyFill="1" applyAlignment="1">
      <alignment horizontal="center" wrapText="1"/>
    </xf>
    <xf numFmtId="0" fontId="72" fillId="33" borderId="3" xfId="63" applyFont="1" applyFill="1" applyAlignment="1" applyProtection="1">
      <alignment wrapText="1"/>
      <protection hidden="1"/>
    </xf>
    <xf numFmtId="0" fontId="72" fillId="0" borderId="3" xfId="63" applyFont="1" applyAlignment="1">
      <alignment wrapText="1"/>
    </xf>
    <xf numFmtId="0" fontId="22" fillId="37" borderId="0" xfId="0" applyFont="1" applyFill="1" applyAlignment="1">
      <alignment horizontal="left" wrapText="1"/>
    </xf>
    <xf numFmtId="0" fontId="34" fillId="34" borderId="0" xfId="87" applyFont="1" applyFill="1" applyAlignment="1">
      <alignment horizontal="left"/>
      <protection/>
    </xf>
    <xf numFmtId="0" fontId="24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29" fillId="35" borderId="24" xfId="0" applyFont="1" applyFill="1" applyBorder="1" applyAlignment="1">
      <alignment horizontal="center" vertical="center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2" xfId="36"/>
    <cellStyle name="Акцент2 2" xfId="37"/>
    <cellStyle name="Акцент2 3" xfId="38"/>
    <cellStyle name="Акцент3" xfId="39"/>
    <cellStyle name="Акцент3 2" xfId="40"/>
    <cellStyle name="Акцент3 3" xfId="41"/>
    <cellStyle name="Акцент4" xfId="42"/>
    <cellStyle name="Акцент4 2" xfId="43"/>
    <cellStyle name="Акцент4 3" xfId="44"/>
    <cellStyle name="Акцент5" xfId="45"/>
    <cellStyle name="Акцент5 2" xfId="46"/>
    <cellStyle name="Акцент5 3" xfId="47"/>
    <cellStyle name="Акцент6" xfId="48"/>
    <cellStyle name="Акцент6 2" xfId="49"/>
    <cellStyle name="Акцент6 3" xfId="50"/>
    <cellStyle name="Ввод " xfId="51"/>
    <cellStyle name="Ввод  2" xfId="52"/>
    <cellStyle name="Ввод  3" xfId="53"/>
    <cellStyle name="Вывод" xfId="54"/>
    <cellStyle name="Вывод 2" xfId="55"/>
    <cellStyle name="Вывод 3" xfId="56"/>
    <cellStyle name="Вычисление" xfId="57"/>
    <cellStyle name="Вычисление 2" xfId="58"/>
    <cellStyle name="Вычисление 3" xfId="59"/>
    <cellStyle name="Hyperlink" xfId="60"/>
    <cellStyle name="Currency" xfId="61"/>
    <cellStyle name="Currency [0]" xfId="62"/>
    <cellStyle name="Заголовок 1" xfId="63"/>
    <cellStyle name="Заголовок 1 2" xfId="64"/>
    <cellStyle name="Заголовок 1 3" xfId="65"/>
    <cellStyle name="Заголовок 2" xfId="66"/>
    <cellStyle name="Заголовок 2 2" xfId="67"/>
    <cellStyle name="Заголовок 2 3" xfId="68"/>
    <cellStyle name="Заголовок 3" xfId="69"/>
    <cellStyle name="Заголовок 3 2" xfId="70"/>
    <cellStyle name="Заголовок 3 3" xfId="71"/>
    <cellStyle name="Заголовок 4" xfId="72"/>
    <cellStyle name="Заголовок 4 2" xfId="73"/>
    <cellStyle name="Заголовок 4 3" xfId="74"/>
    <cellStyle name="Итог" xfId="75"/>
    <cellStyle name="Итог 2" xfId="76"/>
    <cellStyle name="Итог 3" xfId="77"/>
    <cellStyle name="Контрольная ячейка" xfId="78"/>
    <cellStyle name="Контрольная ячейка 2" xfId="79"/>
    <cellStyle name="Контрольная ячейка 3" xfId="80"/>
    <cellStyle name="Название" xfId="81"/>
    <cellStyle name="Название 2" xfId="82"/>
    <cellStyle name="Название 3" xfId="83"/>
    <cellStyle name="Нейтральный" xfId="84"/>
    <cellStyle name="Нейтральный 2" xfId="85"/>
    <cellStyle name="Нейтральный 3" xfId="86"/>
    <cellStyle name="Обычный 2" xfId="87"/>
    <cellStyle name="Обычный 2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лохой 3" xfId="95"/>
    <cellStyle name="Пояснение" xfId="96"/>
    <cellStyle name="Пояснение 2" xfId="97"/>
    <cellStyle name="Пояснение 3" xfId="98"/>
    <cellStyle name="Примечание" xfId="99"/>
    <cellStyle name="Примечание 2" xfId="100"/>
    <cellStyle name="Примечание 3" xfId="101"/>
    <cellStyle name="Percent" xfId="102"/>
    <cellStyle name="Связанная ячейка" xfId="103"/>
    <cellStyle name="Связанная ячейка 2" xfId="104"/>
    <cellStyle name="Связанная ячейка 3" xfId="105"/>
    <cellStyle name="Текст предупреждения" xfId="106"/>
    <cellStyle name="Текст предупреждения 2" xfId="107"/>
    <cellStyle name="Текст предупреждения 3" xfId="108"/>
    <cellStyle name="Comma" xfId="109"/>
    <cellStyle name="Comma [0]" xfId="110"/>
    <cellStyle name="Хороший" xfId="111"/>
    <cellStyle name="Хороший 2" xfId="112"/>
    <cellStyle name="Хороший 3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5.25390625" style="0" customWidth="1"/>
    <col min="2" max="2" width="59.75390625" style="0" customWidth="1"/>
    <col min="3" max="3" width="12.00390625" style="0" customWidth="1"/>
    <col min="4" max="4" width="10.00390625" style="0" customWidth="1"/>
    <col min="5" max="7" width="10.75390625" style="0" customWidth="1"/>
    <col min="8" max="8" width="10.00390625" style="0" customWidth="1"/>
    <col min="10" max="10" width="10.125" style="0" customWidth="1"/>
    <col min="24" max="28" width="9.125" style="0" customWidth="1"/>
  </cols>
  <sheetData>
    <row r="1" spans="1:26" s="700" customFormat="1" ht="34.5" customHeight="1" thickBot="1">
      <c r="A1" s="1179" t="s">
        <v>553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1"/>
      <c r="Z1" s="700">
        <v>1.25</v>
      </c>
    </row>
    <row r="2" spans="1:26" ht="14.25">
      <c r="A2" s="509"/>
      <c r="B2" s="509"/>
      <c r="C2" s="510"/>
      <c r="D2" s="510"/>
      <c r="E2" s="510"/>
      <c r="F2" s="510"/>
      <c r="G2" s="510"/>
      <c r="H2" s="510"/>
      <c r="I2" s="510"/>
      <c r="J2" s="510"/>
      <c r="K2" s="510"/>
      <c r="L2" s="501"/>
      <c r="Z2">
        <v>1.25</v>
      </c>
    </row>
    <row r="3" spans="1:26" ht="23.25" customHeight="1">
      <c r="A3" s="1182" t="s">
        <v>437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505"/>
      <c r="Z3">
        <v>1.25</v>
      </c>
    </row>
    <row r="4" spans="1:12" ht="23.25" customHeight="1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01"/>
    </row>
    <row r="5" spans="1:12" ht="24.75" customHeight="1" thickBot="1">
      <c r="A5" s="1183" t="s">
        <v>422</v>
      </c>
      <c r="B5" s="1184"/>
      <c r="C5" s="498"/>
      <c r="D5" s="498"/>
      <c r="E5" s="498"/>
      <c r="F5" s="498"/>
      <c r="G5" s="499"/>
      <c r="H5" s="499"/>
      <c r="I5" s="500"/>
      <c r="J5" s="499"/>
      <c r="K5" s="511"/>
      <c r="L5" s="501"/>
    </row>
    <row r="6" spans="1:12" s="725" customFormat="1" ht="15" customHeight="1" thickTop="1">
      <c r="A6" s="926" t="s">
        <v>423</v>
      </c>
      <c r="B6" s="718"/>
      <c r="C6" s="719"/>
      <c r="D6" s="719"/>
      <c r="E6" s="719"/>
      <c r="F6" s="719"/>
      <c r="G6" s="720"/>
      <c r="H6" s="720"/>
      <c r="I6" s="721"/>
      <c r="J6" s="722"/>
      <c r="K6" s="723"/>
      <c r="L6" s="724"/>
    </row>
    <row r="7" spans="1:12" s="725" customFormat="1" ht="15" customHeight="1">
      <c r="A7" s="926" t="s">
        <v>424</v>
      </c>
      <c r="B7" s="718"/>
      <c r="C7" s="719"/>
      <c r="D7" s="719"/>
      <c r="E7" s="719"/>
      <c r="F7" s="719"/>
      <c r="G7" s="720"/>
      <c r="H7" s="720"/>
      <c r="I7" s="721"/>
      <c r="J7" s="722"/>
      <c r="K7" s="723"/>
      <c r="L7" s="724"/>
    </row>
    <row r="8" spans="1:12" s="725" customFormat="1" ht="15" customHeight="1">
      <c r="A8" s="926" t="s">
        <v>425</v>
      </c>
      <c r="B8" s="718"/>
      <c r="C8" s="719"/>
      <c r="D8" s="719"/>
      <c r="E8" s="719"/>
      <c r="F8" s="719"/>
      <c r="G8" s="720"/>
      <c r="H8" s="720"/>
      <c r="I8" s="721"/>
      <c r="J8" s="722"/>
      <c r="K8" s="723"/>
      <c r="L8" s="724"/>
    </row>
    <row r="9" spans="1:12" s="725" customFormat="1" ht="15" customHeight="1">
      <c r="A9" s="926" t="s">
        <v>426</v>
      </c>
      <c r="B9" s="718"/>
      <c r="C9" s="719"/>
      <c r="D9" s="719"/>
      <c r="E9" s="719"/>
      <c r="F9" s="719"/>
      <c r="G9" s="720"/>
      <c r="H9" s="720"/>
      <c r="I9" s="721"/>
      <c r="J9" s="722"/>
      <c r="K9" s="723"/>
      <c r="L9" s="724"/>
    </row>
    <row r="10" spans="1:12" s="725" customFormat="1" ht="15" customHeight="1">
      <c r="A10" s="926" t="s">
        <v>427</v>
      </c>
      <c r="B10" s="718"/>
      <c r="C10" s="719"/>
      <c r="D10" s="719"/>
      <c r="E10" s="719"/>
      <c r="F10" s="719"/>
      <c r="G10" s="720"/>
      <c r="H10" s="720"/>
      <c r="I10" s="721"/>
      <c r="J10" s="722"/>
      <c r="K10" s="723"/>
      <c r="L10" s="724"/>
    </row>
    <row r="11" spans="1:12" s="725" customFormat="1" ht="15" customHeight="1">
      <c r="A11" s="926" t="s">
        <v>428</v>
      </c>
      <c r="B11" s="718"/>
      <c r="C11" s="719"/>
      <c r="D11" s="719"/>
      <c r="E11" s="719"/>
      <c r="F11" s="719"/>
      <c r="G11" s="720"/>
      <c r="H11" s="720"/>
      <c r="I11" s="721"/>
      <c r="J11" s="722"/>
      <c r="K11" s="723"/>
      <c r="L11" s="724"/>
    </row>
    <row r="12" spans="1:12" s="725" customFormat="1" ht="15" customHeight="1">
      <c r="A12" s="926" t="s">
        <v>429</v>
      </c>
      <c r="B12" s="718"/>
      <c r="C12" s="719"/>
      <c r="D12" s="719"/>
      <c r="E12" s="719"/>
      <c r="F12" s="719"/>
      <c r="G12" s="720"/>
      <c r="H12" s="720"/>
      <c r="I12" s="721"/>
      <c r="J12" s="722"/>
      <c r="K12" s="723"/>
      <c r="L12" s="724"/>
    </row>
    <row r="13" spans="1:12" s="725" customFormat="1" ht="15" customHeight="1">
      <c r="A13" s="726" t="s">
        <v>438</v>
      </c>
      <c r="B13" s="718"/>
      <c r="C13" s="719"/>
      <c r="D13" s="719"/>
      <c r="E13" s="719"/>
      <c r="F13" s="719"/>
      <c r="G13" s="720"/>
      <c r="H13" s="720"/>
      <c r="I13" s="721"/>
      <c r="J13" s="722"/>
      <c r="K13" s="723"/>
      <c r="L13" s="724"/>
    </row>
    <row r="14" spans="1:12" s="725" customFormat="1" ht="15" customHeight="1">
      <c r="A14" s="926" t="s">
        <v>430</v>
      </c>
      <c r="B14" s="718"/>
      <c r="C14" s="719"/>
      <c r="D14" s="719"/>
      <c r="E14" s="719"/>
      <c r="F14" s="719"/>
      <c r="G14" s="720"/>
      <c r="H14" s="720"/>
      <c r="I14" s="721"/>
      <c r="J14" s="722"/>
      <c r="K14" s="723"/>
      <c r="L14" s="724"/>
    </row>
    <row r="15" spans="1:12" s="725" customFormat="1" ht="15" customHeight="1">
      <c r="A15" s="933" t="s">
        <v>431</v>
      </c>
      <c r="B15" s="718"/>
      <c r="C15" s="719"/>
      <c r="D15" s="719"/>
      <c r="E15" s="719"/>
      <c r="F15" s="719"/>
      <c r="G15" s="720"/>
      <c r="H15" s="720"/>
      <c r="I15" s="721"/>
      <c r="J15" s="722"/>
      <c r="K15" s="723"/>
      <c r="L15" s="724"/>
    </row>
    <row r="16" spans="1:12" s="725" customFormat="1" ht="15" customHeight="1">
      <c r="A16" s="933" t="s">
        <v>432</v>
      </c>
      <c r="B16" s="718"/>
      <c r="C16" s="719"/>
      <c r="D16" s="719"/>
      <c r="E16" s="719"/>
      <c r="F16" s="719"/>
      <c r="G16" s="720"/>
      <c r="H16" s="720"/>
      <c r="I16" s="721"/>
      <c r="J16" s="722"/>
      <c r="K16" s="723"/>
      <c r="L16" s="724"/>
    </row>
    <row r="17" spans="1:12" s="725" customFormat="1" ht="15" customHeight="1">
      <c r="A17" s="933" t="s">
        <v>433</v>
      </c>
      <c r="B17" s="718"/>
      <c r="C17" s="719"/>
      <c r="D17" s="719"/>
      <c r="E17" s="719"/>
      <c r="F17" s="719"/>
      <c r="G17" s="720"/>
      <c r="H17" s="720"/>
      <c r="I17" s="721"/>
      <c r="J17" s="722"/>
      <c r="K17" s="723"/>
      <c r="L17" s="724"/>
    </row>
    <row r="18" spans="1:12" s="725" customFormat="1" ht="15" customHeight="1">
      <c r="A18" s="933" t="s">
        <v>434</v>
      </c>
      <c r="B18" s="718"/>
      <c r="C18" s="719"/>
      <c r="D18" s="719"/>
      <c r="E18" s="719"/>
      <c r="F18" s="719"/>
      <c r="G18" s="720"/>
      <c r="H18" s="720"/>
      <c r="I18" s="721"/>
      <c r="J18" s="722"/>
      <c r="K18" s="723"/>
      <c r="L18" s="724"/>
    </row>
    <row r="19" spans="1:12" s="725" customFormat="1" ht="15" customHeight="1">
      <c r="A19" s="933" t="s">
        <v>435</v>
      </c>
      <c r="B19" s="718"/>
      <c r="C19" s="719"/>
      <c r="D19" s="719"/>
      <c r="E19" s="719"/>
      <c r="F19" s="719"/>
      <c r="G19" s="720"/>
      <c r="H19" s="720"/>
      <c r="I19" s="721"/>
      <c r="J19" s="722"/>
      <c r="K19" s="723"/>
      <c r="L19" s="724"/>
    </row>
    <row r="20" spans="1:12" s="725" customFormat="1" ht="15" customHeight="1">
      <c r="A20" s="933" t="s">
        <v>436</v>
      </c>
      <c r="B20" s="718"/>
      <c r="C20" s="719"/>
      <c r="D20" s="719"/>
      <c r="E20" s="719"/>
      <c r="F20" s="719"/>
      <c r="G20" s="720"/>
      <c r="H20" s="720"/>
      <c r="I20" s="721"/>
      <c r="J20" s="722"/>
      <c r="K20" s="723"/>
      <c r="L20" s="724"/>
    </row>
    <row r="21" spans="1:256" s="725" customFormat="1" ht="15" customHeight="1">
      <c r="A21" s="1054" t="s">
        <v>554</v>
      </c>
      <c r="B21" s="1054"/>
      <c r="C21" s="1055"/>
      <c r="D21" s="1055"/>
      <c r="E21" s="1055"/>
      <c r="F21" s="1056"/>
      <c r="G21" s="1056"/>
      <c r="H21" s="1056"/>
      <c r="I21" s="727"/>
      <c r="J21" s="727"/>
      <c r="K21" s="723"/>
      <c r="L21" s="724"/>
      <c r="M21" s="934"/>
      <c r="N21" s="934"/>
      <c r="O21" s="934"/>
      <c r="P21" s="934"/>
      <c r="Q21" s="1054"/>
      <c r="R21" s="1054"/>
      <c r="S21" s="1055"/>
      <c r="T21" s="1055"/>
      <c r="U21" s="1055"/>
      <c r="V21" s="1056"/>
      <c r="W21" s="1056"/>
      <c r="X21" s="1056"/>
      <c r="Y21" s="1054"/>
      <c r="Z21" s="1054"/>
      <c r="AA21" s="1055"/>
      <c r="AB21" s="1055"/>
      <c r="AC21" s="1055"/>
      <c r="AD21" s="1056"/>
      <c r="AE21" s="1056"/>
      <c r="AF21" s="1056"/>
      <c r="AG21" s="1054"/>
      <c r="AH21" s="1054"/>
      <c r="AI21" s="1055"/>
      <c r="AJ21" s="1055"/>
      <c r="AK21" s="1055"/>
      <c r="AL21" s="1056"/>
      <c r="AM21" s="1056"/>
      <c r="AN21" s="1056"/>
      <c r="AO21" s="1054"/>
      <c r="AP21" s="1054"/>
      <c r="AQ21" s="1055"/>
      <c r="AR21" s="1055"/>
      <c r="AS21" s="1055"/>
      <c r="AT21" s="1056"/>
      <c r="AU21" s="1056"/>
      <c r="AV21" s="1056"/>
      <c r="AW21" s="1054"/>
      <c r="AX21" s="1054"/>
      <c r="AY21" s="1055"/>
      <c r="AZ21" s="1055"/>
      <c r="BA21" s="1055"/>
      <c r="BB21" s="1056"/>
      <c r="BC21" s="1056"/>
      <c r="BD21" s="1056"/>
      <c r="BE21" s="1054"/>
      <c r="BF21" s="1054"/>
      <c r="BG21" s="1055"/>
      <c r="BH21" s="1055"/>
      <c r="BI21" s="1055"/>
      <c r="BJ21" s="1056"/>
      <c r="BK21" s="1056"/>
      <c r="BL21" s="1056"/>
      <c r="BM21" s="1054"/>
      <c r="BN21" s="1054"/>
      <c r="BO21" s="1055"/>
      <c r="BP21" s="1055"/>
      <c r="BQ21" s="1055"/>
      <c r="BR21" s="1056"/>
      <c r="BS21" s="1056"/>
      <c r="BT21" s="1056"/>
      <c r="BU21" s="1054"/>
      <c r="BV21" s="1054"/>
      <c r="BW21" s="1055"/>
      <c r="BX21" s="1055"/>
      <c r="BY21" s="1055"/>
      <c r="BZ21" s="1056"/>
      <c r="CA21" s="1056"/>
      <c r="CB21" s="1056"/>
      <c r="CC21" s="1054"/>
      <c r="CD21" s="1054"/>
      <c r="CE21" s="1055"/>
      <c r="CF21" s="1055"/>
      <c r="CG21" s="1055"/>
      <c r="CH21" s="1056"/>
      <c r="CI21" s="1056"/>
      <c r="CJ21" s="1056"/>
      <c r="CK21" s="1054"/>
      <c r="CL21" s="1054"/>
      <c r="CM21" s="1055"/>
      <c r="CN21" s="1055"/>
      <c r="CO21" s="1055"/>
      <c r="CP21" s="1056"/>
      <c r="CQ21" s="1056"/>
      <c r="CR21" s="1056"/>
      <c r="CS21" s="1054"/>
      <c r="CT21" s="1054"/>
      <c r="CU21" s="1055"/>
      <c r="CV21" s="1055"/>
      <c r="CW21" s="1055"/>
      <c r="CX21" s="1056"/>
      <c r="CY21" s="1056"/>
      <c r="CZ21" s="1056"/>
      <c r="DA21" s="1054"/>
      <c r="DB21" s="1054"/>
      <c r="DC21" s="1055"/>
      <c r="DD21" s="1055"/>
      <c r="DE21" s="1055"/>
      <c r="DF21" s="1056"/>
      <c r="DG21" s="1056"/>
      <c r="DH21" s="1056"/>
      <c r="DI21" s="1054"/>
      <c r="DJ21" s="1054"/>
      <c r="DK21" s="1055"/>
      <c r="DL21" s="1055"/>
      <c r="DM21" s="1055"/>
      <c r="DN21" s="1056"/>
      <c r="DO21" s="1056"/>
      <c r="DP21" s="1056"/>
      <c r="DQ21" s="1054"/>
      <c r="DR21" s="1054"/>
      <c r="DS21" s="1055"/>
      <c r="DT21" s="1055"/>
      <c r="DU21" s="1055"/>
      <c r="DV21" s="1056"/>
      <c r="DW21" s="1056"/>
      <c r="DX21" s="1056"/>
      <c r="DY21" s="1054"/>
      <c r="DZ21" s="1054"/>
      <c r="EA21" s="1055"/>
      <c r="EB21" s="1055"/>
      <c r="EC21" s="1055"/>
      <c r="ED21" s="1056"/>
      <c r="EE21" s="1056"/>
      <c r="EF21" s="1056"/>
      <c r="EG21" s="1054"/>
      <c r="EH21" s="1054"/>
      <c r="EI21" s="1055"/>
      <c r="EJ21" s="1055"/>
      <c r="EK21" s="1055"/>
      <c r="EL21" s="1056"/>
      <c r="EM21" s="1056"/>
      <c r="EN21" s="1056"/>
      <c r="EO21" s="1054"/>
      <c r="EP21" s="1054"/>
      <c r="EQ21" s="1055"/>
      <c r="ER21" s="1055"/>
      <c r="ES21" s="1055"/>
      <c r="ET21" s="1056"/>
      <c r="EU21" s="1056"/>
      <c r="EV21" s="1056"/>
      <c r="EW21" s="1054"/>
      <c r="EX21" s="1054"/>
      <c r="EY21" s="1055"/>
      <c r="EZ21" s="1055"/>
      <c r="FA21" s="1055"/>
      <c r="FB21" s="1056"/>
      <c r="FC21" s="1056"/>
      <c r="FD21" s="1056"/>
      <c r="FE21" s="1054"/>
      <c r="FF21" s="1054"/>
      <c r="FG21" s="1055"/>
      <c r="FH21" s="1055"/>
      <c r="FI21" s="1055"/>
      <c r="FJ21" s="1056"/>
      <c r="FK21" s="1056"/>
      <c r="FL21" s="1056"/>
      <c r="FM21" s="1054"/>
      <c r="FN21" s="1054"/>
      <c r="FO21" s="1055"/>
      <c r="FP21" s="1055"/>
      <c r="FQ21" s="1055"/>
      <c r="FR21" s="1056"/>
      <c r="FS21" s="1056"/>
      <c r="FT21" s="1056"/>
      <c r="FU21" s="1054"/>
      <c r="FV21" s="1054"/>
      <c r="FW21" s="1055"/>
      <c r="FX21" s="1055"/>
      <c r="FY21" s="1055"/>
      <c r="FZ21" s="1056"/>
      <c r="GA21" s="1056"/>
      <c r="GB21" s="1056"/>
      <c r="GC21" s="1054"/>
      <c r="GD21" s="1054"/>
      <c r="GE21" s="1055"/>
      <c r="GF21" s="1055"/>
      <c r="GG21" s="1055"/>
      <c r="GH21" s="1056"/>
      <c r="GI21" s="1056"/>
      <c r="GJ21" s="1056"/>
      <c r="GK21" s="1054"/>
      <c r="GL21" s="1054"/>
      <c r="GM21" s="1055"/>
      <c r="GN21" s="1055"/>
      <c r="GO21" s="1055"/>
      <c r="GP21" s="1056"/>
      <c r="GQ21" s="1056"/>
      <c r="GR21" s="1056"/>
      <c r="GS21" s="1054"/>
      <c r="GT21" s="1054"/>
      <c r="GU21" s="1055"/>
      <c r="GV21" s="1055"/>
      <c r="GW21" s="1055"/>
      <c r="GX21" s="1056"/>
      <c r="GY21" s="1056"/>
      <c r="GZ21" s="1056"/>
      <c r="HA21" s="1054"/>
      <c r="HB21" s="1054"/>
      <c r="HC21" s="1055"/>
      <c r="HD21" s="1055"/>
      <c r="HE21" s="1055"/>
      <c r="HF21" s="1056"/>
      <c r="HG21" s="1056"/>
      <c r="HH21" s="1056"/>
      <c r="HI21" s="1054"/>
      <c r="HJ21" s="1054"/>
      <c r="HK21" s="1055"/>
      <c r="HL21" s="1055"/>
      <c r="HM21" s="1055"/>
      <c r="HN21" s="1056"/>
      <c r="HO21" s="1056"/>
      <c r="HP21" s="1056"/>
      <c r="HQ21" s="1054"/>
      <c r="HR21" s="1054"/>
      <c r="HS21" s="1055"/>
      <c r="HT21" s="1055"/>
      <c r="HU21" s="1055"/>
      <c r="HV21" s="1056"/>
      <c r="HW21" s="1056"/>
      <c r="HX21" s="1056"/>
      <c r="HY21" s="1054"/>
      <c r="HZ21" s="1054"/>
      <c r="IA21" s="1055"/>
      <c r="IB21" s="1055"/>
      <c r="IC21" s="1055"/>
      <c r="ID21" s="1056"/>
      <c r="IE21" s="1056"/>
      <c r="IF21" s="1056"/>
      <c r="IG21" s="1054"/>
      <c r="IH21" s="1054"/>
      <c r="II21" s="1055"/>
      <c r="IJ21" s="1055"/>
      <c r="IK21" s="1055"/>
      <c r="IL21" s="1056"/>
      <c r="IM21" s="1056"/>
      <c r="IN21" s="1056"/>
      <c r="IO21" s="1054"/>
      <c r="IP21" s="1054"/>
      <c r="IQ21" s="1055"/>
      <c r="IR21" s="1055"/>
      <c r="IS21" s="1055"/>
      <c r="IT21" s="1056"/>
      <c r="IU21" s="1056"/>
      <c r="IV21" s="1056"/>
    </row>
    <row r="22" spans="1:12" ht="18.75">
      <c r="A22" s="494"/>
      <c r="B22" s="494"/>
      <c r="C22" s="494"/>
      <c r="D22" s="494"/>
      <c r="E22" s="494"/>
      <c r="F22" s="494"/>
      <c r="G22" s="495"/>
      <c r="H22" s="495"/>
      <c r="I22" s="493"/>
      <c r="J22" s="492"/>
      <c r="K22" s="511"/>
      <c r="L22" s="501"/>
    </row>
    <row r="23" spans="1:12" ht="23.25">
      <c r="A23" s="1185" t="s">
        <v>586</v>
      </c>
      <c r="B23" s="1185"/>
      <c r="C23" s="1185"/>
      <c r="D23" s="1185"/>
      <c r="E23" s="1185"/>
      <c r="F23" s="1185"/>
      <c r="G23" s="502"/>
      <c r="H23" s="502"/>
      <c r="I23" s="502"/>
      <c r="J23" s="503"/>
      <c r="K23" s="504"/>
      <c r="L23" s="505"/>
    </row>
    <row r="24" spans="1:12" ht="15.75" customHeight="1">
      <c r="A24" s="506"/>
      <c r="B24" s="506"/>
      <c r="C24" s="507"/>
      <c r="D24" s="507"/>
      <c r="E24" s="507"/>
      <c r="F24" s="507"/>
      <c r="G24" s="507"/>
      <c r="H24" s="507"/>
      <c r="I24" s="507"/>
      <c r="J24" s="507"/>
      <c r="K24" s="507"/>
      <c r="L24" s="508"/>
    </row>
    <row r="25" spans="1:12" ht="18" customHeight="1">
      <c r="A25" s="1186" t="s">
        <v>200</v>
      </c>
      <c r="B25" s="1186"/>
      <c r="C25" s="1012"/>
      <c r="D25" s="1012"/>
      <c r="E25" s="1012"/>
      <c r="F25" s="1012"/>
      <c r="G25" s="1012"/>
      <c r="H25" s="1012"/>
      <c r="I25" s="1012"/>
      <c r="J25" s="1012"/>
      <c r="K25" s="1"/>
      <c r="L25" s="1"/>
    </row>
    <row r="26" spans="1:12" ht="18.75" customHeight="1">
      <c r="A26" s="496"/>
      <c r="B26" s="496"/>
      <c r="C26" s="497"/>
      <c r="D26" s="497"/>
      <c r="E26" s="497"/>
      <c r="F26" s="497"/>
      <c r="G26" s="497"/>
      <c r="H26" s="497"/>
      <c r="I26" s="497"/>
      <c r="J26" s="497"/>
      <c r="K26" s="286"/>
      <c r="L26" s="286"/>
    </row>
    <row r="27" spans="1:12" ht="20.25">
      <c r="A27" s="1187" t="s">
        <v>152</v>
      </c>
      <c r="B27" s="1188"/>
      <c r="C27" s="1188"/>
      <c r="D27" s="1188"/>
      <c r="E27" s="1188"/>
      <c r="F27" s="1188"/>
      <c r="G27" s="2"/>
      <c r="H27" s="2"/>
      <c r="I27" s="2"/>
      <c r="J27" s="2"/>
      <c r="K27" s="1"/>
      <c r="L27" s="1"/>
    </row>
    <row r="28" spans="1:12" ht="15.75" customHeight="1">
      <c r="A28" s="1156" t="s">
        <v>153</v>
      </c>
      <c r="B28" s="1156"/>
      <c r="C28" s="1156"/>
      <c r="D28" s="1156"/>
      <c r="E28" s="1156"/>
      <c r="F28" s="1156"/>
      <c r="G28" s="1"/>
      <c r="H28" s="1"/>
      <c r="I28" s="1"/>
      <c r="J28" s="1"/>
      <c r="K28" s="1"/>
      <c r="L28" s="1"/>
    </row>
    <row r="29" spans="1:12" ht="16.5" customHeight="1" thickBot="1">
      <c r="A29" s="4"/>
      <c r="B29" s="4"/>
      <c r="C29" s="4"/>
      <c r="D29" s="4"/>
      <c r="E29" s="4"/>
      <c r="F29" s="4"/>
      <c r="G29" s="10"/>
      <c r="H29" s="10"/>
      <c r="I29" s="7"/>
      <c r="J29" s="7"/>
      <c r="K29" s="1"/>
      <c r="L29" s="1"/>
    </row>
    <row r="30" spans="1:12" ht="23.25" customHeight="1" thickTop="1">
      <c r="A30" s="145" t="s">
        <v>4</v>
      </c>
      <c r="B30" s="32"/>
      <c r="C30" s="945" t="s">
        <v>592</v>
      </c>
      <c r="D30" s="946"/>
      <c r="E30" s="945" t="s">
        <v>593</v>
      </c>
      <c r="F30" s="946"/>
      <c r="G30" s="945" t="s">
        <v>594</v>
      </c>
      <c r="H30" s="964"/>
      <c r="I30" s="975"/>
      <c r="J30" s="976"/>
      <c r="K30" s="1"/>
      <c r="L30" s="1"/>
    </row>
    <row r="31" spans="1:12" ht="18" customHeight="1">
      <c r="A31" s="171" t="s">
        <v>12</v>
      </c>
      <c r="B31" s="551" t="s">
        <v>13</v>
      </c>
      <c r="C31" s="951">
        <f>CEILING(120*$Z$1,0.1)</f>
        <v>150</v>
      </c>
      <c r="D31" s="954"/>
      <c r="E31" s="951">
        <f>CEILING(125*$Z$1,0.1)</f>
        <v>156.3</v>
      </c>
      <c r="F31" s="954"/>
      <c r="G31" s="951">
        <f>CEILING(120*$Z$1,0.1)</f>
        <v>150</v>
      </c>
      <c r="H31" s="954"/>
      <c r="I31" s="949"/>
      <c r="J31" s="950"/>
      <c r="K31" s="1"/>
      <c r="L31" s="1"/>
    </row>
    <row r="32" spans="1:12" ht="17.25" customHeight="1">
      <c r="A32" s="172" t="s">
        <v>6</v>
      </c>
      <c r="B32" s="549" t="s">
        <v>62</v>
      </c>
      <c r="C32" s="951">
        <f>CEILING((C31+50*$Z$1),0.1)</f>
        <v>212.5</v>
      </c>
      <c r="D32" s="952"/>
      <c r="E32" s="951">
        <f>CEILING((E31+50*$Z$1),0.1)</f>
        <v>218.8</v>
      </c>
      <c r="F32" s="952"/>
      <c r="G32" s="951">
        <f>CEILING((G31+50*$Z$1),0.1)</f>
        <v>212.5</v>
      </c>
      <c r="H32" s="952"/>
      <c r="I32" s="949"/>
      <c r="J32" s="950"/>
      <c r="K32" s="1"/>
      <c r="L32" s="1"/>
    </row>
    <row r="33" spans="1:12" ht="16.5" customHeight="1">
      <c r="A33" s="172"/>
      <c r="B33" s="549" t="s">
        <v>9</v>
      </c>
      <c r="C33" s="951">
        <f>CEILING((C31*0.85),0.1)</f>
        <v>127.5</v>
      </c>
      <c r="D33" s="952"/>
      <c r="E33" s="951">
        <f>CEILING((E31*0.85),0.1)</f>
        <v>132.9</v>
      </c>
      <c r="F33" s="952"/>
      <c r="G33" s="951">
        <f>CEILING((G31*0.85),0.1)</f>
        <v>127.5</v>
      </c>
      <c r="H33" s="952"/>
      <c r="I33" s="949"/>
      <c r="J33" s="950"/>
      <c r="K33" s="1"/>
      <c r="L33" s="1"/>
    </row>
    <row r="34" spans="1:12" ht="16.5" customHeight="1">
      <c r="A34" s="259"/>
      <c r="B34" s="554" t="s">
        <v>595</v>
      </c>
      <c r="C34" s="951">
        <v>0</v>
      </c>
      <c r="D34" s="952"/>
      <c r="E34" s="951">
        <v>0</v>
      </c>
      <c r="F34" s="952"/>
      <c r="G34" s="951">
        <v>0</v>
      </c>
      <c r="H34" s="952"/>
      <c r="I34" s="949"/>
      <c r="J34" s="950"/>
      <c r="K34" s="1"/>
      <c r="L34" s="1"/>
    </row>
    <row r="35" spans="1:12" ht="15.75" customHeight="1">
      <c r="A35" s="259"/>
      <c r="B35" s="554" t="s">
        <v>596</v>
      </c>
      <c r="C35" s="951">
        <v>0</v>
      </c>
      <c r="D35" s="952"/>
      <c r="E35" s="951">
        <v>0</v>
      </c>
      <c r="F35" s="952"/>
      <c r="G35" s="951">
        <v>0</v>
      </c>
      <c r="H35" s="952"/>
      <c r="I35" s="732"/>
      <c r="J35" s="733"/>
      <c r="K35" s="1"/>
      <c r="L35" s="1"/>
    </row>
    <row r="36" spans="1:12" ht="17.25" customHeight="1">
      <c r="A36" s="173"/>
      <c r="B36" s="549" t="s">
        <v>149</v>
      </c>
      <c r="C36" s="951">
        <f>CEILING(140*$Z$1,0.1)</f>
        <v>175</v>
      </c>
      <c r="D36" s="952"/>
      <c r="E36" s="951">
        <f>CEILING(145*$Z$1,0.1)</f>
        <v>181.3</v>
      </c>
      <c r="F36" s="952"/>
      <c r="G36" s="951">
        <f>CEILING(140*$Z$1,0.1)</f>
        <v>175</v>
      </c>
      <c r="H36" s="952"/>
      <c r="I36" s="949"/>
      <c r="J36" s="950"/>
      <c r="K36" s="1"/>
      <c r="L36" s="1"/>
    </row>
    <row r="37" spans="1:12" ht="16.5" customHeight="1">
      <c r="A37" s="173"/>
      <c r="B37" s="553" t="s">
        <v>212</v>
      </c>
      <c r="C37" s="1114">
        <f>CEILING((C36+50*$Z$1),0.1)</f>
        <v>237.5</v>
      </c>
      <c r="D37" s="1154"/>
      <c r="E37" s="1114">
        <f>CEILING((E36+50*$Z$1),0.1)</f>
        <v>243.8</v>
      </c>
      <c r="F37" s="1154"/>
      <c r="G37" s="1114">
        <f>CEILING((G36+50*$Z$1),0.1)</f>
        <v>237.5</v>
      </c>
      <c r="H37" s="1154"/>
      <c r="I37" s="949"/>
      <c r="J37" s="950"/>
      <c r="K37" s="1"/>
      <c r="L37" s="1"/>
    </row>
    <row r="38" spans="1:12" ht="15.75" customHeight="1">
      <c r="A38" s="171"/>
      <c r="B38" s="549" t="s">
        <v>445</v>
      </c>
      <c r="C38" s="951">
        <f>CEILING(170*$Z$1,0.1)</f>
        <v>212.5</v>
      </c>
      <c r="D38" s="954"/>
      <c r="E38" s="951">
        <f>CEILING(175*$Z$1,0.1)</f>
        <v>218.8</v>
      </c>
      <c r="F38" s="954"/>
      <c r="G38" s="951">
        <f>CEILING(170*$Z$1,0.1)</f>
        <v>212.5</v>
      </c>
      <c r="H38" s="954"/>
      <c r="I38" s="949"/>
      <c r="J38" s="950"/>
      <c r="K38" s="1"/>
      <c r="L38" s="1"/>
    </row>
    <row r="39" spans="1:12" ht="17.25" customHeight="1">
      <c r="A39" s="171"/>
      <c r="B39" s="549" t="s">
        <v>446</v>
      </c>
      <c r="C39" s="951">
        <f>CEILING((C38+70*$Z$1),0.1)</f>
        <v>300</v>
      </c>
      <c r="D39" s="952"/>
      <c r="E39" s="951">
        <f>CEILING((E38+70*$Z$1),0.1)</f>
        <v>306.3</v>
      </c>
      <c r="F39" s="952"/>
      <c r="G39" s="951">
        <f>CEILING((G38+70*$Z$1),0.1)</f>
        <v>300</v>
      </c>
      <c r="H39" s="952"/>
      <c r="I39" s="949"/>
      <c r="J39" s="950"/>
      <c r="K39" s="1"/>
      <c r="L39" s="1"/>
    </row>
    <row r="40" spans="1:12" ht="16.5" customHeight="1">
      <c r="A40" s="171"/>
      <c r="B40" s="549" t="s">
        <v>587</v>
      </c>
      <c r="C40" s="951">
        <f>CEILING(215*$Z$1,0.1)</f>
        <v>268.8</v>
      </c>
      <c r="D40" s="952"/>
      <c r="E40" s="951">
        <f>CEILING(220*$Z$1,0.1)</f>
        <v>275</v>
      </c>
      <c r="F40" s="952"/>
      <c r="G40" s="951">
        <f>CEILING(215*$Z$1,0.1)</f>
        <v>268.8</v>
      </c>
      <c r="H40" s="952"/>
      <c r="I40" s="949"/>
      <c r="J40" s="950"/>
      <c r="K40" s="1"/>
      <c r="L40" s="1"/>
    </row>
    <row r="41" spans="1:12" ht="16.5" customHeight="1">
      <c r="A41" s="171"/>
      <c r="B41" s="549" t="s">
        <v>588</v>
      </c>
      <c r="C41" s="951">
        <f>CEILING((C40+70*$Z$1),0.1)</f>
        <v>356.3</v>
      </c>
      <c r="D41" s="952"/>
      <c r="E41" s="951">
        <f>CEILING((E40+70*$Z$1),0.1)</f>
        <v>362.5</v>
      </c>
      <c r="F41" s="952"/>
      <c r="G41" s="951">
        <f>CEILING((G40+70*$Z$1),0.1)</f>
        <v>356.3</v>
      </c>
      <c r="H41" s="952"/>
      <c r="I41" s="949"/>
      <c r="J41" s="950"/>
      <c r="K41" s="1"/>
      <c r="L41" s="1"/>
    </row>
    <row r="42" spans="1:12" ht="16.5" customHeight="1">
      <c r="A42" s="171"/>
      <c r="B42" s="549" t="s">
        <v>606</v>
      </c>
      <c r="C42" s="951">
        <f>CEILING(245*$Z$1,0.1)</f>
        <v>306.3</v>
      </c>
      <c r="D42" s="952"/>
      <c r="E42" s="951">
        <f>CEILING(250*$Z$1,0.1)</f>
        <v>312.5</v>
      </c>
      <c r="F42" s="952"/>
      <c r="G42" s="951">
        <f>CEILING(245*$Z$1,0.1)</f>
        <v>306.3</v>
      </c>
      <c r="H42" s="952"/>
      <c r="I42" s="949"/>
      <c r="J42" s="950"/>
      <c r="K42" s="1"/>
      <c r="L42" s="1"/>
    </row>
    <row r="43" spans="1:12" ht="16.5" customHeight="1">
      <c r="A43" s="171"/>
      <c r="B43" s="553" t="s">
        <v>605</v>
      </c>
      <c r="C43" s="1114">
        <f>CEILING(975*$Z$1,0.1)</f>
        <v>1218.8</v>
      </c>
      <c r="D43" s="1154"/>
      <c r="E43" s="1114">
        <f>CEILING(975*$Z$1,0.1)</f>
        <v>1218.8</v>
      </c>
      <c r="F43" s="1154"/>
      <c r="G43" s="1114">
        <f>CEILING(975*$Z$1,0.1)</f>
        <v>1218.8</v>
      </c>
      <c r="H43" s="1154"/>
      <c r="I43" s="949"/>
      <c r="J43" s="950"/>
      <c r="K43" s="1"/>
      <c r="L43" s="1"/>
    </row>
    <row r="44" spans="1:12" ht="16.5" customHeight="1">
      <c r="A44" s="740"/>
      <c r="B44" s="549" t="s">
        <v>447</v>
      </c>
      <c r="C44" s="951">
        <f>CEILING(180*$Z$1,0.1)</f>
        <v>225</v>
      </c>
      <c r="D44" s="954"/>
      <c r="E44" s="951">
        <f>CEILING(185*$Z$1,0.1)</f>
        <v>231.3</v>
      </c>
      <c r="F44" s="954"/>
      <c r="G44" s="951">
        <f>CEILING(180*$Z$1,0.1)</f>
        <v>225</v>
      </c>
      <c r="H44" s="954"/>
      <c r="I44" s="949"/>
      <c r="J44" s="950"/>
      <c r="K44" s="1"/>
      <c r="L44" s="1"/>
    </row>
    <row r="45" spans="1:12" ht="16.5" customHeight="1">
      <c r="A45" s="171"/>
      <c r="B45" s="549" t="s">
        <v>448</v>
      </c>
      <c r="C45" s="951">
        <f>CEILING((C44+70*$Z$1),0.1)</f>
        <v>312.5</v>
      </c>
      <c r="D45" s="952"/>
      <c r="E45" s="951">
        <f>CEILING((E44+70*$Z$1),0.1)</f>
        <v>318.8</v>
      </c>
      <c r="F45" s="952"/>
      <c r="G45" s="951">
        <f>CEILING((G44+70*$Z$1),0.1)</f>
        <v>312.5</v>
      </c>
      <c r="H45" s="952"/>
      <c r="I45" s="949"/>
      <c r="J45" s="950"/>
      <c r="K45" s="1"/>
      <c r="L45" s="1"/>
    </row>
    <row r="46" spans="1:12" ht="15">
      <c r="A46" s="171"/>
      <c r="B46" s="549" t="s">
        <v>449</v>
      </c>
      <c r="C46" s="951">
        <f>CEILING(220*$Z$1,0.1)</f>
        <v>275</v>
      </c>
      <c r="D46" s="952"/>
      <c r="E46" s="951">
        <f>CEILING(225*$Z$1,0.1)</f>
        <v>281.3</v>
      </c>
      <c r="F46" s="952"/>
      <c r="G46" s="951">
        <f>CEILING(220*$Z$1,0.1)</f>
        <v>275</v>
      </c>
      <c r="H46" s="952"/>
      <c r="I46" s="949"/>
      <c r="J46" s="950"/>
      <c r="K46" s="1"/>
      <c r="L46" s="1"/>
    </row>
    <row r="47" spans="1:12" ht="18" customHeight="1">
      <c r="A47" s="171"/>
      <c r="B47" s="549" t="s">
        <v>450</v>
      </c>
      <c r="C47" s="951">
        <f>CEILING((C46+70*$Z$1),0.1)</f>
        <v>362.5</v>
      </c>
      <c r="D47" s="952"/>
      <c r="E47" s="951">
        <f>CEILING((E46+70*$Z$1),0.1)</f>
        <v>368.8</v>
      </c>
      <c r="F47" s="952"/>
      <c r="G47" s="951">
        <f>CEILING((G46+70*$Z$1),0.1)</f>
        <v>362.5</v>
      </c>
      <c r="H47" s="952"/>
      <c r="I47" s="949"/>
      <c r="J47" s="950"/>
      <c r="K47" s="1"/>
      <c r="L47" s="1"/>
    </row>
    <row r="48" spans="1:12" ht="20.25" customHeight="1" thickBot="1">
      <c r="A48" s="378" t="s">
        <v>454</v>
      </c>
      <c r="B48" s="552" t="s">
        <v>604</v>
      </c>
      <c r="C48" s="967">
        <f>CEILING(1275*$Z$1,0.1)</f>
        <v>1593.8000000000002</v>
      </c>
      <c r="D48" s="973"/>
      <c r="E48" s="967">
        <f>CEILING(1275*$Z$1,0.1)</f>
        <v>1593.8000000000002</v>
      </c>
      <c r="F48" s="973"/>
      <c r="G48" s="967">
        <f>CEILING(1275*$Z$1,0.1)</f>
        <v>1593.8000000000002</v>
      </c>
      <c r="H48" s="973"/>
      <c r="I48" s="949"/>
      <c r="J48" s="950"/>
      <c r="K48" s="1"/>
      <c r="L48" s="1"/>
    </row>
    <row r="49" spans="1:25" ht="18" customHeight="1" thickTop="1">
      <c r="A49" s="543" t="s">
        <v>589</v>
      </c>
      <c r="B49" s="543"/>
      <c r="C49" s="545"/>
      <c r="D49" s="545"/>
      <c r="E49" s="545"/>
      <c r="F49" s="545"/>
      <c r="G49" s="545"/>
      <c r="H49" s="545"/>
      <c r="I49" s="546"/>
      <c r="J49" s="546"/>
      <c r="K49" s="547"/>
      <c r="L49" s="547"/>
      <c r="M49" s="548"/>
      <c r="N49" s="548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</row>
    <row r="50" spans="1:25" ht="16.5" customHeight="1">
      <c r="A50" s="543" t="s">
        <v>456</v>
      </c>
      <c r="B50" s="543"/>
      <c r="C50" s="545"/>
      <c r="D50" s="545"/>
      <c r="E50" s="545"/>
      <c r="F50" s="545"/>
      <c r="G50" s="545"/>
      <c r="H50" s="545"/>
      <c r="I50" s="546"/>
      <c r="J50" s="546"/>
      <c r="K50" s="547"/>
      <c r="L50" s="547"/>
      <c r="M50" s="548"/>
      <c r="N50" s="548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</row>
    <row r="51" spans="1:25" ht="17.25" customHeight="1">
      <c r="A51" s="543" t="s">
        <v>590</v>
      </c>
      <c r="B51" s="543"/>
      <c r="C51" s="545"/>
      <c r="D51" s="545"/>
      <c r="E51" s="545"/>
      <c r="F51" s="545"/>
      <c r="G51" s="545"/>
      <c r="H51" s="545"/>
      <c r="I51" s="546"/>
      <c r="J51" s="546"/>
      <c r="K51" s="547"/>
      <c r="L51" s="547"/>
      <c r="M51" s="548"/>
      <c r="N51" s="548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pans="1:25" ht="17.25" customHeight="1">
      <c r="A52" s="544" t="s">
        <v>591</v>
      </c>
      <c r="B52" s="543"/>
      <c r="C52" s="545"/>
      <c r="D52" s="545"/>
      <c r="E52" s="545"/>
      <c r="F52" s="545"/>
      <c r="G52" s="545"/>
      <c r="H52" s="545"/>
      <c r="I52" s="546"/>
      <c r="J52" s="546"/>
      <c r="K52" s="547"/>
      <c r="L52" s="547"/>
      <c r="M52" s="548"/>
      <c r="N52" s="548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</row>
    <row r="53" spans="1:25" ht="17.25" customHeight="1">
      <c r="A53" s="1049" t="s">
        <v>649</v>
      </c>
      <c r="B53" s="1050"/>
      <c r="C53" s="1050"/>
      <c r="D53" s="1050"/>
      <c r="E53" s="1050"/>
      <c r="F53" s="1050"/>
      <c r="G53" s="1050"/>
      <c r="H53" s="1050"/>
      <c r="I53" s="546"/>
      <c r="J53" s="546"/>
      <c r="K53" s="547"/>
      <c r="L53" s="547"/>
      <c r="M53" s="548"/>
      <c r="N53" s="548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</row>
    <row r="54" spans="1:12" ht="18" customHeight="1" thickBot="1">
      <c r="A54" s="10"/>
      <c r="B54" s="10"/>
      <c r="C54" s="10"/>
      <c r="D54" s="10"/>
      <c r="E54" s="10"/>
      <c r="F54" s="10"/>
      <c r="G54" s="10"/>
      <c r="H54" s="10"/>
      <c r="I54" s="7"/>
      <c r="J54" s="7"/>
      <c r="K54" s="1"/>
      <c r="L54" s="1"/>
    </row>
    <row r="55" spans="1:25" ht="24" customHeight="1" thickTop="1">
      <c r="A55" s="5" t="s">
        <v>4</v>
      </c>
      <c r="B55" s="32"/>
      <c r="C55" s="945" t="s">
        <v>592</v>
      </c>
      <c r="D55" s="946"/>
      <c r="E55" s="945" t="s">
        <v>593</v>
      </c>
      <c r="F55" s="946"/>
      <c r="G55" s="945" t="s">
        <v>594</v>
      </c>
      <c r="H55" s="964"/>
      <c r="I55" s="975"/>
      <c r="J55" s="976"/>
      <c r="K55" s="12"/>
      <c r="L55" s="12"/>
      <c r="M55" s="141"/>
      <c r="N55" s="141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</row>
    <row r="56" spans="1:25" ht="16.5" customHeight="1">
      <c r="A56" s="13" t="s">
        <v>55</v>
      </c>
      <c r="B56" s="555" t="s">
        <v>241</v>
      </c>
      <c r="C56" s="955">
        <f>CEILING(90*$Z$3,0.1)</f>
        <v>112.5</v>
      </c>
      <c r="D56" s="960"/>
      <c r="E56" s="955">
        <f>CEILING(95*$Z$3,0.1)</f>
        <v>118.80000000000001</v>
      </c>
      <c r="F56" s="960"/>
      <c r="G56" s="955">
        <f>CEILING(90*$Z$3,0.1)</f>
        <v>112.5</v>
      </c>
      <c r="H56" s="960"/>
      <c r="I56" s="949"/>
      <c r="J56" s="950"/>
      <c r="K56" s="7"/>
      <c r="L56" s="7"/>
      <c r="M56" s="141"/>
      <c r="N56" s="141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</row>
    <row r="57" spans="1:25" ht="17.25" customHeight="1">
      <c r="A57" s="15" t="s">
        <v>6</v>
      </c>
      <c r="B57" s="555" t="s">
        <v>62</v>
      </c>
      <c r="C57" s="955">
        <f>CEILING((C56+50*$Z$3),0.1)</f>
        <v>175</v>
      </c>
      <c r="D57" s="956"/>
      <c r="E57" s="955">
        <f>CEILING((E56+50*$Z$3),0.1)</f>
        <v>181.3</v>
      </c>
      <c r="F57" s="956"/>
      <c r="G57" s="955">
        <f>CEILING((G56+50*$Z$3),0.1)</f>
        <v>175</v>
      </c>
      <c r="H57" s="956"/>
      <c r="I57" s="949"/>
      <c r="J57" s="950"/>
      <c r="K57" s="16"/>
      <c r="L57" s="7"/>
      <c r="M57" s="141"/>
      <c r="N57" s="141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</row>
    <row r="58" spans="1:25" ht="17.25" customHeight="1">
      <c r="A58" s="143"/>
      <c r="B58" s="555" t="s">
        <v>458</v>
      </c>
      <c r="C58" s="951">
        <f>CEILING(170*$Z$1,0.1)</f>
        <v>212.5</v>
      </c>
      <c r="D58" s="952"/>
      <c r="E58" s="951">
        <f>CEILING(175*$Z$1,0.1)</f>
        <v>218.8</v>
      </c>
      <c r="F58" s="952"/>
      <c r="G58" s="951">
        <f>CEILING(170*$Z$1,0.1)</f>
        <v>212.5</v>
      </c>
      <c r="H58" s="952"/>
      <c r="I58" s="949"/>
      <c r="J58" s="950"/>
      <c r="K58" s="16"/>
      <c r="L58" s="7"/>
      <c r="M58" s="141"/>
      <c r="N58" s="141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</row>
    <row r="59" spans="1:25" ht="15" customHeight="1">
      <c r="A59" s="259"/>
      <c r="B59" s="555" t="s">
        <v>459</v>
      </c>
      <c r="C59" s="951">
        <f>CEILING((C58+50*$Z$1),0.1)</f>
        <v>275</v>
      </c>
      <c r="D59" s="952"/>
      <c r="E59" s="951">
        <f>CEILING((E58+50*$Z$1),0.1)</f>
        <v>281.3</v>
      </c>
      <c r="F59" s="952"/>
      <c r="G59" s="951">
        <f>CEILING((G58+50*$Z$1),0.1)</f>
        <v>275</v>
      </c>
      <c r="H59" s="952"/>
      <c r="I59" s="949"/>
      <c r="J59" s="950"/>
      <c r="K59" s="7"/>
      <c r="L59" s="7"/>
      <c r="M59" s="141"/>
      <c r="N59" s="141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</row>
    <row r="60" spans="1:25" ht="18" customHeight="1">
      <c r="A60" s="515" t="s">
        <v>931</v>
      </c>
      <c r="B60" s="557" t="s">
        <v>602</v>
      </c>
      <c r="C60" s="951">
        <f>CEILING(185*$Z$1,0.1)</f>
        <v>231.3</v>
      </c>
      <c r="D60" s="952"/>
      <c r="E60" s="951">
        <f>CEILING(190*$Z$1,0.1)</f>
        <v>237.5</v>
      </c>
      <c r="F60" s="952"/>
      <c r="G60" s="951">
        <f>CEILING(185*$Z$1,0.1)</f>
        <v>231.3</v>
      </c>
      <c r="H60" s="952"/>
      <c r="I60" s="949"/>
      <c r="J60" s="950"/>
      <c r="K60" s="7"/>
      <c r="L60" s="7"/>
      <c r="M60" s="141"/>
      <c r="N60" s="141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</row>
    <row r="61" spans="1:25" ht="17.25" customHeight="1">
      <c r="A61" s="571" t="s">
        <v>932</v>
      </c>
      <c r="B61" s="748" t="s">
        <v>601</v>
      </c>
      <c r="C61" s="1114">
        <f>CEILING((C60+50*$Z$1),0.1)</f>
        <v>293.8</v>
      </c>
      <c r="D61" s="1154"/>
      <c r="E61" s="1114">
        <f>CEILING((E60+50*$Z$1),0.1)</f>
        <v>300</v>
      </c>
      <c r="F61" s="1154"/>
      <c r="G61" s="1114">
        <f>CEILING((G60+50*$Z$1),0.1)</f>
        <v>293.8</v>
      </c>
      <c r="H61" s="1154"/>
      <c r="I61" s="949"/>
      <c r="J61" s="950"/>
      <c r="K61" s="7"/>
      <c r="L61" s="7"/>
      <c r="M61" s="141"/>
      <c r="N61" s="141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</row>
    <row r="62" spans="1:25" ht="18.75" customHeight="1">
      <c r="A62" s="571" t="s">
        <v>938</v>
      </c>
      <c r="B62" s="521" t="s">
        <v>460</v>
      </c>
      <c r="C62" s="955">
        <f>CEILING(140*$Z$3,0.1)</f>
        <v>175</v>
      </c>
      <c r="D62" s="960"/>
      <c r="E62" s="955">
        <f>CEILING(145*$Z$3,0.1)</f>
        <v>181.3</v>
      </c>
      <c r="F62" s="960"/>
      <c r="G62" s="955">
        <f>CEILING(140*$Z$3,0.1)</f>
        <v>175</v>
      </c>
      <c r="H62" s="960"/>
      <c r="I62" s="709"/>
      <c r="J62" s="710"/>
      <c r="K62" s="7"/>
      <c r="L62" s="7"/>
      <c r="M62" s="141"/>
      <c r="N62" s="141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</row>
    <row r="63" spans="1:12" ht="18.75" customHeight="1">
      <c r="A63" s="143"/>
      <c r="B63" s="521" t="s">
        <v>298</v>
      </c>
      <c r="C63" s="951">
        <f>CEILING(205*$Z$1,0.1)</f>
        <v>256.3</v>
      </c>
      <c r="D63" s="952"/>
      <c r="E63" s="951">
        <f>CEILING(210*$Z$1,0.1)</f>
        <v>262.5</v>
      </c>
      <c r="F63" s="952"/>
      <c r="G63" s="951">
        <f>CEILING(205*$Z$1,0.1)</f>
        <v>256.3</v>
      </c>
      <c r="H63" s="952"/>
      <c r="I63" s="949"/>
      <c r="J63" s="950"/>
      <c r="K63" s="7"/>
      <c r="L63" s="7"/>
    </row>
    <row r="64" spans="1:12" ht="18.75" customHeight="1">
      <c r="A64" s="143"/>
      <c r="B64" s="557" t="s">
        <v>461</v>
      </c>
      <c r="C64" s="951">
        <f>CEILING(215*$Z$1,0.1)</f>
        <v>268.8</v>
      </c>
      <c r="D64" s="952"/>
      <c r="E64" s="951">
        <f>CEILING(220*$Z$1,0.1)</f>
        <v>275</v>
      </c>
      <c r="F64" s="952"/>
      <c r="G64" s="951">
        <f>CEILING(215*$Z$1,0.1)</f>
        <v>268.8</v>
      </c>
      <c r="H64" s="952"/>
      <c r="I64" s="732"/>
      <c r="J64" s="733"/>
      <c r="K64" s="7"/>
      <c r="L64" s="7"/>
    </row>
    <row r="65" spans="1:12" ht="18.75" customHeight="1">
      <c r="A65" s="143"/>
      <c r="B65" s="521" t="s">
        <v>455</v>
      </c>
      <c r="C65" s="951">
        <f>CEILING(230*$Z$1,0.1)</f>
        <v>287.5</v>
      </c>
      <c r="D65" s="952"/>
      <c r="E65" s="951">
        <f>CEILING(235*$Z$1,0.1)</f>
        <v>293.8</v>
      </c>
      <c r="F65" s="952"/>
      <c r="G65" s="951">
        <f>CEILING(230*$Z$1,0.1)</f>
        <v>287.5</v>
      </c>
      <c r="H65" s="952"/>
      <c r="I65" s="732"/>
      <c r="J65" s="733"/>
      <c r="K65" s="7"/>
      <c r="L65" s="7"/>
    </row>
    <row r="66" spans="1:12" ht="18.75" customHeight="1">
      <c r="A66" s="143"/>
      <c r="B66" s="521" t="s">
        <v>597</v>
      </c>
      <c r="C66" s="951">
        <f>CEILING(235*$Z$1,0.1)</f>
        <v>293.8</v>
      </c>
      <c r="D66" s="952"/>
      <c r="E66" s="951">
        <f>CEILING(240*$Z$1,0.1)</f>
        <v>300</v>
      </c>
      <c r="F66" s="952"/>
      <c r="G66" s="951">
        <f>CEILING(235*$Z$1,0.1)</f>
        <v>293.8</v>
      </c>
      <c r="H66" s="952"/>
      <c r="I66" s="949"/>
      <c r="J66" s="950"/>
      <c r="K66" s="7"/>
      <c r="L66" s="7"/>
    </row>
    <row r="67" spans="1:12" ht="18.75" customHeight="1">
      <c r="A67" s="143"/>
      <c r="B67" s="521" t="s">
        <v>598</v>
      </c>
      <c r="C67" s="951">
        <f>CEILING(240*$Z$1,0.1)</f>
        <v>300</v>
      </c>
      <c r="D67" s="952"/>
      <c r="E67" s="951">
        <f>CEILING(245*$Z$1,0.1)</f>
        <v>306.3</v>
      </c>
      <c r="F67" s="952"/>
      <c r="G67" s="951">
        <f>CEILING(240*$Z$1,0.1)</f>
        <v>300</v>
      </c>
      <c r="H67" s="952"/>
      <c r="I67" s="949"/>
      <c r="J67" s="950"/>
      <c r="K67" s="7"/>
      <c r="L67" s="7"/>
    </row>
    <row r="68" spans="1:12" ht="21" customHeight="1" thickBot="1">
      <c r="A68" s="378" t="s">
        <v>454</v>
      </c>
      <c r="B68" s="749" t="s">
        <v>603</v>
      </c>
      <c r="C68" s="967">
        <f>CEILING(1530*$Z$1,0.1)</f>
        <v>1912.5</v>
      </c>
      <c r="D68" s="973"/>
      <c r="E68" s="967">
        <f>CEILING(1530*$Z$1,0.1)</f>
        <v>1912.5</v>
      </c>
      <c r="F68" s="973"/>
      <c r="G68" s="967">
        <f>CEILING(1530*$Z$1,0.1)</f>
        <v>1912.5</v>
      </c>
      <c r="H68" s="973"/>
      <c r="I68" s="949"/>
      <c r="J68" s="950"/>
      <c r="K68" s="7"/>
      <c r="L68" s="7"/>
    </row>
    <row r="69" spans="1:12" ht="19.5" customHeight="1" thickTop="1">
      <c r="A69" s="1155" t="s">
        <v>607</v>
      </c>
      <c r="B69" s="1155"/>
      <c r="C69" s="1155"/>
      <c r="D69" s="1155"/>
      <c r="E69" s="1155"/>
      <c r="F69" s="1155"/>
      <c r="G69" s="1155"/>
      <c r="H69" s="1155"/>
      <c r="I69" s="7"/>
      <c r="J69" s="7"/>
      <c r="K69" s="7"/>
      <c r="L69" s="7"/>
    </row>
    <row r="70" spans="1:12" ht="16.5" customHeight="1">
      <c r="A70" s="1155" t="s">
        <v>457</v>
      </c>
      <c r="B70" s="1155"/>
      <c r="C70" s="1155"/>
      <c r="D70" s="1155"/>
      <c r="E70" s="1155"/>
      <c r="F70" s="1155"/>
      <c r="G70" s="1155"/>
      <c r="H70" s="1155"/>
      <c r="I70" s="7"/>
      <c r="J70" s="7"/>
      <c r="K70" s="7"/>
      <c r="L70" s="7"/>
    </row>
    <row r="71" spans="1:12" ht="17.25" customHeight="1">
      <c r="A71" s="544" t="s">
        <v>591</v>
      </c>
      <c r="B71" s="543"/>
      <c r="C71" s="545"/>
      <c r="D71" s="545"/>
      <c r="E71" s="545"/>
      <c r="F71" s="545"/>
      <c r="G71" s="545"/>
      <c r="H71" s="545"/>
      <c r="I71" s="7"/>
      <c r="J71" s="7"/>
      <c r="K71" s="7"/>
      <c r="L71" s="7"/>
    </row>
    <row r="72" spans="1:12" ht="17.25" customHeight="1">
      <c r="A72" s="1049" t="s">
        <v>562</v>
      </c>
      <c r="B72" s="1050"/>
      <c r="C72" s="1050"/>
      <c r="D72" s="1050"/>
      <c r="E72" s="1050"/>
      <c r="F72" s="1050"/>
      <c r="G72" s="1050"/>
      <c r="H72" s="1050"/>
      <c r="I72" s="7"/>
      <c r="J72" s="7"/>
      <c r="K72" s="7"/>
      <c r="L72" s="7"/>
    </row>
    <row r="73" spans="1:12" ht="18.75" customHeight="1" thickBot="1">
      <c r="A73" s="89"/>
      <c r="B73" s="89"/>
      <c r="C73" s="89"/>
      <c r="D73" s="89"/>
      <c r="E73" s="89"/>
      <c r="F73" s="89"/>
      <c r="G73" s="89"/>
      <c r="H73" s="89"/>
      <c r="I73" s="7"/>
      <c r="J73" s="7"/>
      <c r="K73" s="7"/>
      <c r="L73" s="7"/>
    </row>
    <row r="74" spans="1:12" ht="26.25" customHeight="1" thickTop="1">
      <c r="A74" s="5" t="s">
        <v>4</v>
      </c>
      <c r="B74" s="11"/>
      <c r="C74" s="945" t="s">
        <v>592</v>
      </c>
      <c r="D74" s="946"/>
      <c r="E74" s="945" t="s">
        <v>593</v>
      </c>
      <c r="F74" s="946"/>
      <c r="G74" s="945" t="s">
        <v>594</v>
      </c>
      <c r="H74" s="964"/>
      <c r="I74" s="975"/>
      <c r="J74" s="976"/>
      <c r="K74" s="7"/>
      <c r="L74" s="7"/>
    </row>
    <row r="75" spans="1:12" ht="15">
      <c r="A75" s="266" t="s">
        <v>201</v>
      </c>
      <c r="B75" s="789" t="s">
        <v>285</v>
      </c>
      <c r="C75" s="955">
        <f>CEILING(59*$Z$3,0.1)</f>
        <v>73.8</v>
      </c>
      <c r="D75" s="960"/>
      <c r="E75" s="955">
        <f>CEILING(63*$Z$3,0.1)</f>
        <v>78.80000000000001</v>
      </c>
      <c r="F75" s="960"/>
      <c r="G75" s="955">
        <f>CEILING(59*$Z$3,0.1)</f>
        <v>73.8</v>
      </c>
      <c r="H75" s="960"/>
      <c r="I75" s="949"/>
      <c r="J75" s="950"/>
      <c r="K75" s="7"/>
      <c r="L75" s="7"/>
    </row>
    <row r="76" spans="1:12" ht="15">
      <c r="A76" s="15" t="s">
        <v>6</v>
      </c>
      <c r="B76" s="164" t="s">
        <v>286</v>
      </c>
      <c r="C76" s="955">
        <f>CEILING((C75+35*$Z$3),0.1)</f>
        <v>117.60000000000001</v>
      </c>
      <c r="D76" s="956"/>
      <c r="E76" s="955">
        <f>CEILING((E75+35*$Z$3),0.1)</f>
        <v>122.60000000000001</v>
      </c>
      <c r="F76" s="956"/>
      <c r="G76" s="955">
        <f>CEILING((G75+35*$Z$3),0.1)</f>
        <v>117.60000000000001</v>
      </c>
      <c r="H76" s="956"/>
      <c r="I76" s="949"/>
      <c r="J76" s="950"/>
      <c r="K76" s="7"/>
      <c r="L76" s="7"/>
    </row>
    <row r="77" spans="1:12" ht="15">
      <c r="A77" s="15"/>
      <c r="B77" s="164" t="s">
        <v>9</v>
      </c>
      <c r="C77" s="955">
        <f>CEILING((C75*0.85),0.1)</f>
        <v>62.800000000000004</v>
      </c>
      <c r="D77" s="956"/>
      <c r="E77" s="955">
        <f>CEILING((E75*0.85),0.1)</f>
        <v>67</v>
      </c>
      <c r="F77" s="956"/>
      <c r="G77" s="955">
        <f>CEILING((G75*0.85),0.1)</f>
        <v>62.800000000000004</v>
      </c>
      <c r="H77" s="956"/>
      <c r="I77" s="949"/>
      <c r="J77" s="950"/>
      <c r="K77" s="7"/>
      <c r="L77" s="7"/>
    </row>
    <row r="78" spans="1:12" ht="14.25">
      <c r="A78" s="515" t="s">
        <v>931</v>
      </c>
      <c r="B78" s="208" t="s">
        <v>97</v>
      </c>
      <c r="C78" s="951">
        <v>0</v>
      </c>
      <c r="D78" s="952"/>
      <c r="E78" s="951">
        <v>0</v>
      </c>
      <c r="F78" s="952"/>
      <c r="G78" s="951">
        <v>0</v>
      </c>
      <c r="H78" s="952"/>
      <c r="I78" s="949"/>
      <c r="J78" s="950"/>
      <c r="K78" s="7"/>
      <c r="L78" s="7"/>
    </row>
    <row r="79" spans="1:12" ht="14.25">
      <c r="A79" s="571" t="s">
        <v>932</v>
      </c>
      <c r="B79" s="208" t="s">
        <v>650</v>
      </c>
      <c r="C79" s="951">
        <f>CEILING(100*$Z$1,0.1)</f>
        <v>125</v>
      </c>
      <c r="D79" s="952"/>
      <c r="E79" s="951">
        <f>CEILING(105*$Z$1,0.1)</f>
        <v>131.3</v>
      </c>
      <c r="F79" s="952"/>
      <c r="G79" s="951">
        <f>CEILING(100*$Z$1,0.1)</f>
        <v>125</v>
      </c>
      <c r="H79" s="952"/>
      <c r="I79" s="949"/>
      <c r="J79" s="950"/>
      <c r="K79" s="7"/>
      <c r="L79" s="7"/>
    </row>
    <row r="80" spans="1:12" ht="14.25">
      <c r="A80" s="571" t="s">
        <v>939</v>
      </c>
      <c r="B80" s="798" t="s">
        <v>651</v>
      </c>
      <c r="C80" s="1089">
        <f>CEILING((C79+35*$Z$1),0.1)</f>
        <v>168.8</v>
      </c>
      <c r="D80" s="1090"/>
      <c r="E80" s="1089">
        <f>CEILING((E79+35*$Z$1),0.1)</f>
        <v>175.10000000000002</v>
      </c>
      <c r="F80" s="1090"/>
      <c r="G80" s="1089">
        <f>CEILING((G79+35*$Z$1),0.1)</f>
        <v>168.8</v>
      </c>
      <c r="H80" s="1090"/>
      <c r="I80" s="949"/>
      <c r="J80" s="950"/>
      <c r="K80" s="7"/>
      <c r="L80" s="7"/>
    </row>
    <row r="81" spans="1:12" ht="14.25">
      <c r="A81" s="143"/>
      <c r="B81" s="784" t="s">
        <v>242</v>
      </c>
      <c r="C81" s="955">
        <f>CEILING(79*$Z$3,0.1)</f>
        <v>98.80000000000001</v>
      </c>
      <c r="D81" s="956"/>
      <c r="E81" s="955">
        <f>CEILING(83*$Z$3,0.1)</f>
        <v>103.80000000000001</v>
      </c>
      <c r="F81" s="956"/>
      <c r="G81" s="955">
        <f>CEILING(79*$Z$3,0.1)</f>
        <v>98.80000000000001</v>
      </c>
      <c r="H81" s="956"/>
      <c r="I81" s="949"/>
      <c r="J81" s="950"/>
      <c r="K81" s="7"/>
      <c r="L81" s="7"/>
    </row>
    <row r="82" spans="1:12" ht="14.25">
      <c r="A82" s="143"/>
      <c r="B82" s="784" t="s">
        <v>243</v>
      </c>
      <c r="C82" s="971">
        <f>CEILING((C81+45*$Z$3),0.1)</f>
        <v>155.10000000000002</v>
      </c>
      <c r="D82" s="972"/>
      <c r="E82" s="971">
        <f>CEILING((E81+45*$Z$3),0.1)</f>
        <v>160.10000000000002</v>
      </c>
      <c r="F82" s="972"/>
      <c r="G82" s="971">
        <f>CEILING((G81+45*$Z$3),0.1)</f>
        <v>155.10000000000002</v>
      </c>
      <c r="H82" s="972"/>
      <c r="I82" s="949"/>
      <c r="J82" s="950"/>
      <c r="K82" s="7"/>
      <c r="L82" s="7"/>
    </row>
    <row r="83" spans="1:12" ht="14.25">
      <c r="A83" s="143"/>
      <c r="B83" s="784" t="s">
        <v>652</v>
      </c>
      <c r="C83" s="951">
        <f>CEILING(120*$Z$1,0.1)</f>
        <v>150</v>
      </c>
      <c r="D83" s="952"/>
      <c r="E83" s="951">
        <f>CEILING(125*$Z$1,0.1)</f>
        <v>156.3</v>
      </c>
      <c r="F83" s="952"/>
      <c r="G83" s="951">
        <f>CEILING(120*$Z$1,0.1)</f>
        <v>150</v>
      </c>
      <c r="H83" s="952"/>
      <c r="I83" s="949"/>
      <c r="J83" s="950"/>
      <c r="K83" s="7"/>
      <c r="L83" s="7"/>
    </row>
    <row r="84" spans="1:12" ht="14.25">
      <c r="A84" s="559"/>
      <c r="B84" s="784" t="s">
        <v>653</v>
      </c>
      <c r="C84" s="951">
        <f>CEILING((C83+45*$Z$1),0.1)</f>
        <v>206.3</v>
      </c>
      <c r="D84" s="952"/>
      <c r="E84" s="951">
        <f>CEILING((E83+45*$Z$1),0.1)</f>
        <v>212.60000000000002</v>
      </c>
      <c r="F84" s="952"/>
      <c r="G84" s="951">
        <f>CEILING((G83+45*$Z$1),0.1)</f>
        <v>206.3</v>
      </c>
      <c r="H84" s="952"/>
      <c r="I84" s="949"/>
      <c r="J84" s="950"/>
      <c r="K84" s="7"/>
      <c r="L84" s="7"/>
    </row>
    <row r="85" spans="1:12" ht="14.25">
      <c r="A85" s="559"/>
      <c r="B85" s="784" t="s">
        <v>467</v>
      </c>
      <c r="C85" s="951">
        <f>CEILING(125*$Z$1,0.1)</f>
        <v>156.3</v>
      </c>
      <c r="D85" s="952"/>
      <c r="E85" s="951">
        <f>CEILING(130*$Z$1,0.1)</f>
        <v>162.5</v>
      </c>
      <c r="F85" s="952"/>
      <c r="G85" s="951">
        <f>CEILING(125*$Z$1,0.1)</f>
        <v>156.3</v>
      </c>
      <c r="H85" s="952"/>
      <c r="I85" s="753"/>
      <c r="J85" s="754"/>
      <c r="K85" s="7"/>
      <c r="L85" s="7"/>
    </row>
    <row r="86" spans="1:12" ht="14.25">
      <c r="A86" s="559"/>
      <c r="B86" s="784" t="s">
        <v>654</v>
      </c>
      <c r="C86" s="951">
        <f>CEILING((C85+55*$Z$1),0.1)</f>
        <v>225.10000000000002</v>
      </c>
      <c r="D86" s="952"/>
      <c r="E86" s="951">
        <f>CEILING((E85+55*$Z$1),0.1)</f>
        <v>231.3</v>
      </c>
      <c r="F86" s="952"/>
      <c r="G86" s="951">
        <f>CEILING((G85+55*$Z$1),0.1)</f>
        <v>225.10000000000002</v>
      </c>
      <c r="H86" s="952"/>
      <c r="I86" s="753"/>
      <c r="J86" s="754"/>
      <c r="K86" s="7"/>
      <c r="L86" s="7"/>
    </row>
    <row r="87" spans="1:12" ht="14.25">
      <c r="A87" s="559"/>
      <c r="B87" s="784" t="s">
        <v>655</v>
      </c>
      <c r="C87" s="951">
        <f>CEILING(130*$Z$1,0.1)</f>
        <v>162.5</v>
      </c>
      <c r="D87" s="952"/>
      <c r="E87" s="951">
        <f>CEILING(135*$Z$1,0.1)</f>
        <v>168.8</v>
      </c>
      <c r="F87" s="952"/>
      <c r="G87" s="951">
        <f>CEILING(130*$Z$1,0.1)</f>
        <v>162.5</v>
      </c>
      <c r="H87" s="952"/>
      <c r="I87" s="949"/>
      <c r="J87" s="950"/>
      <c r="K87" s="7"/>
      <c r="L87" s="7"/>
    </row>
    <row r="88" spans="1:12" ht="17.25" customHeight="1" thickBot="1">
      <c r="A88" s="378" t="s">
        <v>462</v>
      </c>
      <c r="B88" s="165" t="s">
        <v>656</v>
      </c>
      <c r="C88" s="951">
        <f>CEILING((C87+55*$Z$1),0.1)</f>
        <v>231.3</v>
      </c>
      <c r="D88" s="952"/>
      <c r="E88" s="951">
        <f>CEILING((E87+55*$Z$1),0.1)</f>
        <v>237.60000000000002</v>
      </c>
      <c r="F88" s="952"/>
      <c r="G88" s="951">
        <f>CEILING((G87+55*$Z$1),0.1)</f>
        <v>231.3</v>
      </c>
      <c r="H88" s="952"/>
      <c r="I88" s="949"/>
      <c r="J88" s="950"/>
      <c r="K88" s="7"/>
      <c r="L88" s="7"/>
    </row>
    <row r="89" spans="1:12" ht="17.25" customHeight="1" thickTop="1">
      <c r="A89" s="1151" t="s">
        <v>468</v>
      </c>
      <c r="B89" s="1151"/>
      <c r="C89" s="1151"/>
      <c r="D89" s="1151"/>
      <c r="E89" s="1151"/>
      <c r="F89" s="1151"/>
      <c r="G89" s="1151"/>
      <c r="H89" s="1151"/>
      <c r="I89" s="1152"/>
      <c r="J89" s="1152"/>
      <c r="K89" s="1153"/>
      <c r="L89" s="1153"/>
    </row>
    <row r="90" spans="1:12" ht="17.25" customHeight="1">
      <c r="A90" s="544" t="s">
        <v>469</v>
      </c>
      <c r="B90" s="540"/>
      <c r="C90" s="540"/>
      <c r="D90" s="540"/>
      <c r="E90" s="540"/>
      <c r="F90" s="540"/>
      <c r="G90" s="540"/>
      <c r="H90" s="540"/>
      <c r="I90" s="540"/>
      <c r="J90" s="540"/>
      <c r="K90" s="541"/>
      <c r="L90" s="541"/>
    </row>
    <row r="91" spans="1:12" ht="17.25" customHeight="1">
      <c r="A91" s="1049" t="s">
        <v>562</v>
      </c>
      <c r="B91" s="1050"/>
      <c r="C91" s="1050"/>
      <c r="D91" s="1050"/>
      <c r="E91" s="1050"/>
      <c r="F91" s="1050"/>
      <c r="G91" s="1050"/>
      <c r="H91" s="1050"/>
      <c r="I91" s="540"/>
      <c r="J91" s="540"/>
      <c r="K91" s="541"/>
      <c r="L91" s="541"/>
    </row>
    <row r="92" spans="1:12" ht="15" customHeight="1" thickBot="1">
      <c r="A92" s="562"/>
      <c r="B92" s="563"/>
      <c r="C92" s="563"/>
      <c r="D92" s="563"/>
      <c r="E92" s="563"/>
      <c r="F92" s="563"/>
      <c r="G92" s="563"/>
      <c r="H92" s="563"/>
      <c r="I92" s="540"/>
      <c r="J92" s="540"/>
      <c r="K92" s="541"/>
      <c r="L92" s="541"/>
    </row>
    <row r="93" spans="1:12" ht="22.5" customHeight="1" thickTop="1">
      <c r="A93" s="560" t="s">
        <v>244</v>
      </c>
      <c r="B93" s="561"/>
      <c r="C93" s="945" t="s">
        <v>592</v>
      </c>
      <c r="D93" s="946"/>
      <c r="E93" s="945" t="s">
        <v>593</v>
      </c>
      <c r="F93" s="946"/>
      <c r="G93" s="945" t="s">
        <v>594</v>
      </c>
      <c r="H93" s="964"/>
      <c r="I93" s="1051"/>
      <c r="J93" s="1052"/>
      <c r="K93" s="141"/>
      <c r="L93" s="141"/>
    </row>
    <row r="94" spans="1:12" ht="16.5" customHeight="1">
      <c r="A94" s="328" t="s">
        <v>6</v>
      </c>
      <c r="B94" s="329" t="s">
        <v>556</v>
      </c>
      <c r="C94" s="947">
        <f>CEILING(60*$Z$1,0.1)</f>
        <v>75</v>
      </c>
      <c r="D94" s="948"/>
      <c r="E94" s="947">
        <f>CEILING(95*$Z$1,0.1)</f>
        <v>118.80000000000001</v>
      </c>
      <c r="F94" s="948"/>
      <c r="G94" s="947">
        <f>CEILING(60*$Z$1,0.1)</f>
        <v>75</v>
      </c>
      <c r="H94" s="948"/>
      <c r="I94" s="949"/>
      <c r="J94" s="950"/>
      <c r="K94" s="141"/>
      <c r="L94" s="141"/>
    </row>
    <row r="95" spans="1:12" ht="16.5" customHeight="1">
      <c r="A95" s="330" t="s">
        <v>555</v>
      </c>
      <c r="B95" s="331" t="s">
        <v>557</v>
      </c>
      <c r="C95" s="947">
        <f>CEILING(105*$Z$1,0.1)</f>
        <v>131.3</v>
      </c>
      <c r="D95" s="957"/>
      <c r="E95" s="947">
        <f>CEILING(140*$Z$1,0.1)</f>
        <v>175</v>
      </c>
      <c r="F95" s="957"/>
      <c r="G95" s="947">
        <f>CEILING(105*$Z$1,0.1)</f>
        <v>131.3</v>
      </c>
      <c r="H95" s="957"/>
      <c r="I95" s="949"/>
      <c r="J95" s="950"/>
      <c r="K95" s="141"/>
      <c r="L95" s="141"/>
    </row>
    <row r="96" spans="1:12" ht="18" customHeight="1">
      <c r="A96" s="332"/>
      <c r="B96" s="331" t="s">
        <v>558</v>
      </c>
      <c r="C96" s="947">
        <f>CEILING(145*$Z$1,0.1)</f>
        <v>181.3</v>
      </c>
      <c r="D96" s="957"/>
      <c r="E96" s="947">
        <f>CEILING(180*$Z$1,0.1)</f>
        <v>225</v>
      </c>
      <c r="F96" s="957"/>
      <c r="G96" s="947">
        <f>CEILING(145*$Z$1,0.1)</f>
        <v>181.3</v>
      </c>
      <c r="H96" s="957"/>
      <c r="I96" s="949"/>
      <c r="J96" s="950"/>
      <c r="K96" s="141"/>
      <c r="L96" s="141"/>
    </row>
    <row r="97" spans="1:12" ht="20.25" customHeight="1" thickBot="1">
      <c r="A97" s="378" t="s">
        <v>466</v>
      </c>
      <c r="B97" s="333" t="s">
        <v>559</v>
      </c>
      <c r="C97" s="958">
        <f>CEILING(195*$Z$1,0.1)</f>
        <v>243.8</v>
      </c>
      <c r="D97" s="959"/>
      <c r="E97" s="958">
        <f>CEILING(230*$Z$1,0.1)</f>
        <v>287.5</v>
      </c>
      <c r="F97" s="959"/>
      <c r="G97" s="958">
        <f>CEILING(195*$Z$1,0.1)</f>
        <v>243.8</v>
      </c>
      <c r="H97" s="959"/>
      <c r="I97" s="949"/>
      <c r="J97" s="950"/>
      <c r="K97" s="141"/>
      <c r="L97" s="141"/>
    </row>
    <row r="98" spans="1:12" ht="15" thickTop="1">
      <c r="A98" s="1038" t="s">
        <v>657</v>
      </c>
      <c r="B98" s="1038"/>
      <c r="C98" s="1038"/>
      <c r="D98" s="1038"/>
      <c r="E98" s="1038"/>
      <c r="F98" s="1038"/>
      <c r="G98" s="1038"/>
      <c r="H98" s="1038"/>
      <c r="I98" s="1038"/>
      <c r="J98" s="1038"/>
      <c r="K98" s="141"/>
      <c r="L98" s="141"/>
    </row>
    <row r="99" spans="1:12" ht="14.25">
      <c r="A99" s="147" t="s">
        <v>658</v>
      </c>
      <c r="B99" s="147"/>
      <c r="C99" s="147"/>
      <c r="D99" s="147"/>
      <c r="E99" s="147"/>
      <c r="F99" s="147"/>
      <c r="G99" s="147"/>
      <c r="H99" s="147"/>
      <c r="I99" s="637"/>
      <c r="J99" s="637"/>
      <c r="K99" s="141"/>
      <c r="L99" s="141"/>
    </row>
    <row r="100" spans="1:12" ht="15" thickBot="1">
      <c r="A100" s="490"/>
      <c r="B100" s="490"/>
      <c r="C100" s="490"/>
      <c r="D100" s="490"/>
      <c r="E100" s="490"/>
      <c r="F100" s="490"/>
      <c r="G100" s="769"/>
      <c r="H100" s="769"/>
      <c r="I100" s="149"/>
      <c r="J100" s="149"/>
      <c r="K100" s="7"/>
      <c r="L100" s="7"/>
    </row>
    <row r="101" spans="1:12" ht="24" customHeight="1" thickTop="1">
      <c r="A101" s="5" t="s">
        <v>4</v>
      </c>
      <c r="B101" s="11"/>
      <c r="C101" s="945" t="s">
        <v>592</v>
      </c>
      <c r="D101" s="946"/>
      <c r="E101" s="945" t="s">
        <v>593</v>
      </c>
      <c r="F101" s="946"/>
      <c r="G101" s="945" t="s">
        <v>594</v>
      </c>
      <c r="H101" s="964"/>
      <c r="I101" s="288"/>
      <c r="J101" s="12"/>
      <c r="K101" s="12"/>
      <c r="L101" s="12"/>
    </row>
    <row r="102" spans="1:12" ht="15">
      <c r="A102" s="18" t="s">
        <v>5</v>
      </c>
      <c r="B102" s="308" t="s">
        <v>285</v>
      </c>
      <c r="C102" s="955">
        <f>CEILING(90*$Z$3,0.1)</f>
        <v>112.5</v>
      </c>
      <c r="D102" s="960"/>
      <c r="E102" s="955">
        <f>CEILING(94*$Z$3,0.1)</f>
        <v>117.5</v>
      </c>
      <c r="F102" s="960"/>
      <c r="G102" s="955">
        <f>CEILING(90*$Z$3,0.1)</f>
        <v>112.5</v>
      </c>
      <c r="H102" s="960"/>
      <c r="I102" s="20"/>
      <c r="J102" s="16"/>
      <c r="K102" s="1"/>
      <c r="L102" s="1"/>
    </row>
    <row r="103" spans="1:12" ht="14.25" customHeight="1">
      <c r="A103" s="21" t="s">
        <v>6</v>
      </c>
      <c r="B103" s="308" t="s">
        <v>286</v>
      </c>
      <c r="C103" s="955">
        <f>CEILING((C102+40*$Z$3),0.1)</f>
        <v>162.5</v>
      </c>
      <c r="D103" s="956"/>
      <c r="E103" s="955">
        <f>CEILING((E102+40*$Z$3),0.1)</f>
        <v>167.5</v>
      </c>
      <c r="F103" s="956"/>
      <c r="G103" s="955">
        <f>CEILING((G102+40*$Z$3),0.1)</f>
        <v>162.5</v>
      </c>
      <c r="H103" s="956"/>
      <c r="I103" s="20"/>
      <c r="J103" s="16"/>
      <c r="K103" s="1"/>
      <c r="L103" s="1"/>
    </row>
    <row r="104" spans="1:12" ht="15.75" customHeight="1">
      <c r="A104" s="176"/>
      <c r="B104" s="177" t="s">
        <v>9</v>
      </c>
      <c r="C104" s="955">
        <f>CEILING((C102*0.85),0.1)</f>
        <v>95.7</v>
      </c>
      <c r="D104" s="956"/>
      <c r="E104" s="955">
        <f>CEILING((E102*0.85),0.1)</f>
        <v>99.9</v>
      </c>
      <c r="F104" s="956"/>
      <c r="G104" s="955">
        <f>CEILING((G102*0.85),0.1)</f>
        <v>95.7</v>
      </c>
      <c r="H104" s="956"/>
      <c r="I104" s="20"/>
      <c r="J104" s="16"/>
      <c r="K104" s="1"/>
      <c r="L104" s="1"/>
    </row>
    <row r="105" spans="1:12" ht="14.25">
      <c r="A105" s="515" t="s">
        <v>931</v>
      </c>
      <c r="B105" s="22" t="s">
        <v>287</v>
      </c>
      <c r="C105" s="951">
        <f>CEILING(130*$Z$1,0.1)</f>
        <v>162.5</v>
      </c>
      <c r="D105" s="952"/>
      <c r="E105" s="951">
        <f>CEILING(135*$Z$1,0.1)</f>
        <v>168.8</v>
      </c>
      <c r="F105" s="952"/>
      <c r="G105" s="951">
        <f>CEILING(130*$Z$1,0.1)</f>
        <v>162.5</v>
      </c>
      <c r="H105" s="952"/>
      <c r="I105" s="20"/>
      <c r="J105" s="16"/>
      <c r="K105" s="1"/>
      <c r="L105" s="1"/>
    </row>
    <row r="106" spans="1:12" ht="14.25">
      <c r="A106" s="571" t="s">
        <v>932</v>
      </c>
      <c r="B106" s="22" t="s">
        <v>288</v>
      </c>
      <c r="C106" s="947">
        <f>CEILING((C105+40*$Z$1),0.1)</f>
        <v>212.5</v>
      </c>
      <c r="D106" s="957"/>
      <c r="E106" s="947">
        <f>CEILING((E105+40*$Z$1),0.1)</f>
        <v>218.8</v>
      </c>
      <c r="F106" s="957"/>
      <c r="G106" s="947">
        <f>CEILING((G105+40*$Z$1),0.1)</f>
        <v>212.5</v>
      </c>
      <c r="H106" s="957"/>
      <c r="I106" s="20"/>
      <c r="J106" s="16"/>
      <c r="K106" s="1"/>
      <c r="L106" s="1"/>
    </row>
    <row r="107" spans="1:12" ht="14.25">
      <c r="A107" s="571" t="s">
        <v>934</v>
      </c>
      <c r="B107" s="22" t="s">
        <v>608</v>
      </c>
      <c r="C107" s="951">
        <f>CEILING(135*$Z$1,0.1)</f>
        <v>168.8</v>
      </c>
      <c r="D107" s="952"/>
      <c r="E107" s="951">
        <f>CEILING(140*$Z$1,0.1)</f>
        <v>175</v>
      </c>
      <c r="F107" s="952"/>
      <c r="G107" s="951">
        <f>CEILING(135*$Z$1,0.1)</f>
        <v>168.8</v>
      </c>
      <c r="H107" s="952"/>
      <c r="I107" s="20"/>
      <c r="J107" s="16"/>
      <c r="K107" s="1"/>
      <c r="L107" s="1"/>
    </row>
    <row r="108" spans="1:12" ht="14.25">
      <c r="A108" s="176"/>
      <c r="B108" s="22" t="s">
        <v>609</v>
      </c>
      <c r="C108" s="947">
        <f>CEILING((C107+40*$Z$1),0.1)</f>
        <v>218.8</v>
      </c>
      <c r="D108" s="957"/>
      <c r="E108" s="947">
        <f>CEILING((E107+40*$Z$1),0.1)</f>
        <v>225</v>
      </c>
      <c r="F108" s="957"/>
      <c r="G108" s="947">
        <f>CEILING((G107+40*$Z$1),0.1)</f>
        <v>218.8</v>
      </c>
      <c r="H108" s="957"/>
      <c r="I108" s="20"/>
      <c r="J108" s="16"/>
      <c r="K108" s="1"/>
      <c r="L108" s="1"/>
    </row>
    <row r="109" spans="1:12" ht="14.25">
      <c r="A109" s="176"/>
      <c r="B109" s="22" t="s">
        <v>610</v>
      </c>
      <c r="C109" s="951">
        <f>CEILING(140*$Z$1,0.1)</f>
        <v>175</v>
      </c>
      <c r="D109" s="952"/>
      <c r="E109" s="951">
        <f>CEILING(145*$Z$1,0.1)</f>
        <v>181.3</v>
      </c>
      <c r="F109" s="952"/>
      <c r="G109" s="951">
        <f>CEILING(140*$Z$1,0.1)</f>
        <v>175</v>
      </c>
      <c r="H109" s="952"/>
      <c r="I109" s="20"/>
      <c r="J109" s="16"/>
      <c r="K109" s="1"/>
      <c r="L109" s="1"/>
    </row>
    <row r="110" spans="1:12" ht="14.25">
      <c r="A110" s="750"/>
      <c r="B110" s="23" t="s">
        <v>614</v>
      </c>
      <c r="C110" s="947">
        <f>CEILING((C109+50*$Z$1),0.1)</f>
        <v>237.5</v>
      </c>
      <c r="D110" s="957"/>
      <c r="E110" s="947">
        <f>CEILING((E109+50*$Z$1),0.1)</f>
        <v>243.8</v>
      </c>
      <c r="F110" s="957"/>
      <c r="G110" s="947">
        <f>CEILING((G109+50*$Z$1),0.1)</f>
        <v>237.5</v>
      </c>
      <c r="H110" s="957"/>
      <c r="I110" s="20"/>
      <c r="J110" s="16"/>
      <c r="K110" s="1"/>
      <c r="L110" s="1"/>
    </row>
    <row r="111" spans="1:12" ht="15.75" thickBot="1">
      <c r="A111" s="378" t="s">
        <v>466</v>
      </c>
      <c r="B111" s="23" t="s">
        <v>613</v>
      </c>
      <c r="C111" s="951">
        <f>CEILING(155*$Z$1,0.1)</f>
        <v>193.8</v>
      </c>
      <c r="D111" s="952"/>
      <c r="E111" s="951">
        <f>CEILING(160*$Z$1,0.1)</f>
        <v>200</v>
      </c>
      <c r="F111" s="952"/>
      <c r="G111" s="951">
        <f>CEILING(155*$Z$1,0.1)</f>
        <v>193.8</v>
      </c>
      <c r="H111" s="952"/>
      <c r="I111" s="20"/>
      <c r="J111" s="16"/>
      <c r="K111" s="1"/>
      <c r="L111" s="1"/>
    </row>
    <row r="112" spans="1:12" ht="18" customHeight="1" thickBot="1" thickTop="1">
      <c r="A112" s="1176"/>
      <c r="B112" s="1177"/>
      <c r="C112" s="1177"/>
      <c r="D112" s="1177"/>
      <c r="E112" s="1177"/>
      <c r="F112" s="1177"/>
      <c r="G112" s="1177"/>
      <c r="H112" s="1177"/>
      <c r="I112" s="7"/>
      <c r="J112" s="7"/>
      <c r="K112" s="1"/>
      <c r="L112" s="1"/>
    </row>
    <row r="113" spans="1:12" ht="16.5" customHeight="1" thickTop="1">
      <c r="A113" s="13" t="s">
        <v>76</v>
      </c>
      <c r="B113" s="374" t="s">
        <v>279</v>
      </c>
      <c r="C113" s="951">
        <f>CEILING(145*$Z$1,0.1)</f>
        <v>181.3</v>
      </c>
      <c r="D113" s="954"/>
      <c r="E113" s="951">
        <f>CEILING(150*$Z$1,0.1)</f>
        <v>187.5</v>
      </c>
      <c r="F113" s="954"/>
      <c r="G113" s="951">
        <f>CEILING(145*$Z$1,0.1)</f>
        <v>181.3</v>
      </c>
      <c r="H113" s="954"/>
      <c r="I113" s="46"/>
      <c r="J113" s="17"/>
      <c r="K113" s="1"/>
      <c r="L113" s="1"/>
    </row>
    <row r="114" spans="1:12" ht="17.25" customHeight="1">
      <c r="A114" s="15" t="s">
        <v>6</v>
      </c>
      <c r="B114" s="254" t="s">
        <v>280</v>
      </c>
      <c r="C114" s="951">
        <f>CEILING((C113+50*$Z$1),0.1)</f>
        <v>243.8</v>
      </c>
      <c r="D114" s="952"/>
      <c r="E114" s="951">
        <f>CEILING((E113+50*$Z$1),0.1)</f>
        <v>250</v>
      </c>
      <c r="F114" s="952"/>
      <c r="G114" s="951">
        <f>CEILING((G113+50*$Z$1),0.1)</f>
        <v>243.8</v>
      </c>
      <c r="H114" s="952"/>
      <c r="I114" s="1"/>
      <c r="J114" s="1"/>
      <c r="K114" s="1"/>
      <c r="L114" s="1"/>
    </row>
    <row r="115" spans="1:12" ht="18" customHeight="1">
      <c r="A115" s="299"/>
      <c r="B115" s="23" t="s">
        <v>9</v>
      </c>
      <c r="C115" s="951">
        <f>CEILING((C113*0.85),0.1)</f>
        <v>154.20000000000002</v>
      </c>
      <c r="D115" s="952"/>
      <c r="E115" s="951">
        <f>CEILING((E113*0.85),0.1)</f>
        <v>159.4</v>
      </c>
      <c r="F115" s="952"/>
      <c r="G115" s="951">
        <f>CEILING((G113*0.85),0.1)</f>
        <v>154.20000000000002</v>
      </c>
      <c r="H115" s="952"/>
      <c r="I115" s="1"/>
      <c r="J115" s="1"/>
      <c r="K115" s="1"/>
      <c r="L115" s="1"/>
    </row>
    <row r="116" spans="1:12" ht="16.5" customHeight="1">
      <c r="A116" s="299"/>
      <c r="B116" s="23" t="s">
        <v>612</v>
      </c>
      <c r="C116" s="951">
        <f>CEILING(160*$Z$1,0.1)</f>
        <v>200</v>
      </c>
      <c r="D116" s="952"/>
      <c r="E116" s="951">
        <f>CEILING(165*$Z$1,0.1)</f>
        <v>206.3</v>
      </c>
      <c r="F116" s="952"/>
      <c r="G116" s="951">
        <f>CEILING(160*$Z$1,0.1)</f>
        <v>200</v>
      </c>
      <c r="H116" s="952"/>
      <c r="I116" s="1"/>
      <c r="J116" s="1"/>
      <c r="K116" s="1"/>
      <c r="L116" s="1"/>
    </row>
    <row r="117" spans="1:12" ht="15.75" thickBot="1">
      <c r="A117" s="378" t="s">
        <v>466</v>
      </c>
      <c r="B117" s="240" t="s">
        <v>611</v>
      </c>
      <c r="C117" s="958">
        <f>CEILING((C116+65*$Z$1),0.1)</f>
        <v>281.3</v>
      </c>
      <c r="D117" s="959"/>
      <c r="E117" s="958">
        <f>CEILING((E116+65*$Z$1),0.1)</f>
        <v>287.6</v>
      </c>
      <c r="F117" s="959"/>
      <c r="G117" s="958">
        <f>CEILING((G116+65*$Z$1),0.1)</f>
        <v>281.3</v>
      </c>
      <c r="H117" s="959"/>
      <c r="I117" s="1"/>
      <c r="J117" s="1"/>
      <c r="K117" s="1"/>
      <c r="L117" s="1"/>
    </row>
    <row r="118" spans="1:12" ht="17.25" customHeight="1" thickTop="1">
      <c r="A118" s="1008" t="s">
        <v>290</v>
      </c>
      <c r="B118" s="1008"/>
      <c r="C118" s="1008"/>
      <c r="D118" s="1008"/>
      <c r="E118" s="1008"/>
      <c r="F118" s="1008"/>
      <c r="G118" s="1008"/>
      <c r="H118" s="1008"/>
      <c r="I118" s="7"/>
      <c r="J118" s="7"/>
      <c r="K118" s="1"/>
      <c r="L118" s="1"/>
    </row>
    <row r="119" spans="1:12" ht="15" customHeight="1">
      <c r="A119" s="544" t="s">
        <v>615</v>
      </c>
      <c r="B119" s="9"/>
      <c r="C119" s="9"/>
      <c r="D119" s="9"/>
      <c r="E119" s="9"/>
      <c r="F119" s="9"/>
      <c r="G119" s="9"/>
      <c r="H119" s="9"/>
      <c r="I119" s="7"/>
      <c r="J119" s="7"/>
      <c r="K119" s="1"/>
      <c r="L119" s="1"/>
    </row>
    <row r="120" spans="1:12" ht="15.75" customHeight="1">
      <c r="A120" s="1049" t="s">
        <v>562</v>
      </c>
      <c r="B120" s="1050"/>
      <c r="C120" s="1050"/>
      <c r="D120" s="1050"/>
      <c r="E120" s="1050"/>
      <c r="F120" s="1050"/>
      <c r="G120" s="1050"/>
      <c r="H120" s="1050"/>
      <c r="I120" s="7"/>
      <c r="J120" s="7"/>
      <c r="K120" s="1"/>
      <c r="L120" s="1"/>
    </row>
    <row r="121" spans="1:12" ht="15" thickBot="1">
      <c r="A121" s="10"/>
      <c r="B121" s="10"/>
      <c r="C121" s="10"/>
      <c r="D121" s="10"/>
      <c r="E121" s="10"/>
      <c r="F121" s="10"/>
      <c r="G121" s="10"/>
      <c r="H121" s="10"/>
      <c r="I121" s="7"/>
      <c r="J121" s="7"/>
      <c r="K121" s="1"/>
      <c r="L121" s="1"/>
    </row>
    <row r="122" spans="1:12" ht="24.75" customHeight="1" thickTop="1">
      <c r="A122" s="5" t="s">
        <v>4</v>
      </c>
      <c r="B122" s="11"/>
      <c r="C122" s="945" t="s">
        <v>592</v>
      </c>
      <c r="D122" s="946"/>
      <c r="E122" s="945" t="s">
        <v>593</v>
      </c>
      <c r="F122" s="946"/>
      <c r="G122" s="945" t="s">
        <v>594</v>
      </c>
      <c r="H122" s="964"/>
      <c r="I122" s="288"/>
      <c r="J122" s="12"/>
      <c r="K122" s="25"/>
      <c r="L122" s="25"/>
    </row>
    <row r="123" spans="1:12" ht="16.5" customHeight="1">
      <c r="A123" s="18" t="s">
        <v>16</v>
      </c>
      <c r="B123" s="789" t="s">
        <v>285</v>
      </c>
      <c r="C123" s="955">
        <f>CEILING(75*$Z$3,0.1)</f>
        <v>93.80000000000001</v>
      </c>
      <c r="D123" s="960"/>
      <c r="E123" s="955">
        <f>CEILING(80*$Z$3,0.1)</f>
        <v>100</v>
      </c>
      <c r="F123" s="960"/>
      <c r="G123" s="955">
        <f>CEILING(75*$Z$3,0.1)</f>
        <v>93.80000000000001</v>
      </c>
      <c r="H123" s="960"/>
      <c r="I123" s="6"/>
      <c r="J123" s="7"/>
      <c r="K123" s="1"/>
      <c r="L123" s="1"/>
    </row>
    <row r="124" spans="1:12" ht="16.5" customHeight="1">
      <c r="A124" s="21" t="s">
        <v>6</v>
      </c>
      <c r="B124" s="164" t="s">
        <v>286</v>
      </c>
      <c r="C124" s="955">
        <f>CEILING((C123+40*$Z$3),0.1)</f>
        <v>143.8</v>
      </c>
      <c r="D124" s="956"/>
      <c r="E124" s="955">
        <f>CEILING((E123+40*$Z$3),0.1)</f>
        <v>150</v>
      </c>
      <c r="F124" s="956"/>
      <c r="G124" s="955">
        <f>CEILING((G123+40*$Z$3),0.1)</f>
        <v>143.8</v>
      </c>
      <c r="H124" s="956"/>
      <c r="I124" s="16"/>
      <c r="J124" s="16"/>
      <c r="K124" s="1"/>
      <c r="L124" s="1"/>
    </row>
    <row r="125" spans="1:12" ht="15">
      <c r="A125" s="18"/>
      <c r="B125" s="208" t="s">
        <v>97</v>
      </c>
      <c r="C125" s="955">
        <f>CEILING((C123*0.5),0.1)</f>
        <v>46.900000000000006</v>
      </c>
      <c r="D125" s="956"/>
      <c r="E125" s="955">
        <f>CEILING((E123*0.5),0.1)</f>
        <v>50</v>
      </c>
      <c r="F125" s="956"/>
      <c r="G125" s="955">
        <f>CEILING((G123*0.5),0.1)</f>
        <v>46.900000000000006</v>
      </c>
      <c r="H125" s="956"/>
      <c r="I125" s="16"/>
      <c r="J125" s="16"/>
      <c r="K125" s="1"/>
      <c r="L125" s="1"/>
    </row>
    <row r="126" spans="1:12" ht="14.25">
      <c r="A126" s="515" t="s">
        <v>931</v>
      </c>
      <c r="B126" s="164" t="s">
        <v>633</v>
      </c>
      <c r="C126" s="951">
        <f>CEILING(110*$Z$1,0.1)</f>
        <v>137.5</v>
      </c>
      <c r="D126" s="952"/>
      <c r="E126" s="951">
        <f>CEILING(115*$Z$1,0.1)</f>
        <v>143.8</v>
      </c>
      <c r="F126" s="952"/>
      <c r="G126" s="951">
        <f>CEILING(110*$Z$1,0.1)</f>
        <v>137.5</v>
      </c>
      <c r="H126" s="952"/>
      <c r="I126" s="16"/>
      <c r="J126" s="16"/>
      <c r="K126" s="1"/>
      <c r="L126" s="1"/>
    </row>
    <row r="127" spans="1:12" ht="14.25">
      <c r="A127" s="571" t="s">
        <v>932</v>
      </c>
      <c r="B127" s="164" t="s">
        <v>634</v>
      </c>
      <c r="C127" s="947">
        <f>CEILING((C126+40*$Z$1),0.1)</f>
        <v>187.5</v>
      </c>
      <c r="D127" s="957"/>
      <c r="E127" s="947">
        <f>CEILING((E126+40*$Z$1),0.1)</f>
        <v>193.8</v>
      </c>
      <c r="F127" s="957"/>
      <c r="G127" s="947">
        <f>CEILING((G126+40*$Z$1),0.1)</f>
        <v>187.5</v>
      </c>
      <c r="H127" s="957"/>
      <c r="I127" s="7"/>
      <c r="J127" s="7"/>
      <c r="K127" s="1"/>
      <c r="L127" s="1"/>
    </row>
    <row r="128" spans="1:12" ht="14.25">
      <c r="A128" s="571" t="s">
        <v>935</v>
      </c>
      <c r="B128" s="208" t="s">
        <v>635</v>
      </c>
      <c r="C128" s="951">
        <f>CEILING(120*$Z$1,0.1)</f>
        <v>150</v>
      </c>
      <c r="D128" s="952"/>
      <c r="E128" s="951">
        <f>CEILING(125*$Z$1,0.1)</f>
        <v>156.3</v>
      </c>
      <c r="F128" s="952"/>
      <c r="G128" s="951">
        <f>CEILING(120*$Z$1,0.1)</f>
        <v>150</v>
      </c>
      <c r="H128" s="952"/>
      <c r="I128" s="7"/>
      <c r="J128" s="7"/>
      <c r="K128" s="1"/>
      <c r="L128" s="1"/>
    </row>
    <row r="129" spans="1:12" ht="14.25">
      <c r="A129" s="179"/>
      <c r="B129" s="208" t="s">
        <v>636</v>
      </c>
      <c r="C129" s="947">
        <f>CEILING((C128+40*$Z$1),0.1)</f>
        <v>200</v>
      </c>
      <c r="D129" s="957"/>
      <c r="E129" s="947">
        <f>CEILING((E128+40*$Z$1),0.1)</f>
        <v>206.3</v>
      </c>
      <c r="F129" s="957"/>
      <c r="G129" s="947">
        <f>CEILING((G128+40*$Z$1),0.1)</f>
        <v>200</v>
      </c>
      <c r="H129" s="957"/>
      <c r="I129" s="7"/>
      <c r="J129" s="7"/>
      <c r="K129" s="1"/>
      <c r="L129" s="1"/>
    </row>
    <row r="130" spans="1:12" ht="14.25">
      <c r="A130" s="179"/>
      <c r="B130" s="784" t="s">
        <v>242</v>
      </c>
      <c r="C130" s="955">
        <f>CEILING(105*$Z$3,0.1)</f>
        <v>131.3</v>
      </c>
      <c r="D130" s="956"/>
      <c r="E130" s="955">
        <f>CEILING(110*$Z$3,0.1)</f>
        <v>137.5</v>
      </c>
      <c r="F130" s="956"/>
      <c r="G130" s="955">
        <f>CEILING(105*$Z$3,0.1)</f>
        <v>131.3</v>
      </c>
      <c r="H130" s="956"/>
      <c r="I130" s="7"/>
      <c r="J130" s="7"/>
      <c r="K130" s="1"/>
      <c r="L130" s="1"/>
    </row>
    <row r="131" spans="1:12" ht="14.25">
      <c r="A131" s="29"/>
      <c r="B131" s="208" t="s">
        <v>637</v>
      </c>
      <c r="C131" s="951">
        <f>CEILING(135*$Z$1,0.1)</f>
        <v>168.8</v>
      </c>
      <c r="D131" s="952"/>
      <c r="E131" s="951">
        <f>CEILING(140*$Z$1,0.1)</f>
        <v>175</v>
      </c>
      <c r="F131" s="952"/>
      <c r="G131" s="951">
        <f>CEILING(135*$Z$1,0.1)</f>
        <v>168.8</v>
      </c>
      <c r="H131" s="952"/>
      <c r="I131" s="7"/>
      <c r="J131" s="7"/>
      <c r="K131" s="1"/>
      <c r="L131" s="1"/>
    </row>
    <row r="132" spans="1:12" ht="15.75" thickBot="1">
      <c r="A132" s="378" t="s">
        <v>454</v>
      </c>
      <c r="B132" s="336" t="s">
        <v>638</v>
      </c>
      <c r="C132" s="967">
        <f>CEILING(145*$Z$1,0.1)</f>
        <v>181.3</v>
      </c>
      <c r="D132" s="973"/>
      <c r="E132" s="967">
        <f>CEILING(150*$Z$1,0.1)</f>
        <v>187.5</v>
      </c>
      <c r="F132" s="973"/>
      <c r="G132" s="967">
        <f>CEILING(145*$Z$1,0.1)</f>
        <v>181.3</v>
      </c>
      <c r="H132" s="973"/>
      <c r="I132" s="7"/>
      <c r="J132" s="7"/>
      <c r="K132" s="1"/>
      <c r="L132" s="1"/>
    </row>
    <row r="133" spans="1:12" ht="15.75" thickTop="1">
      <c r="A133" s="792" t="s">
        <v>639</v>
      </c>
      <c r="B133" s="790"/>
      <c r="C133" s="791"/>
      <c r="D133" s="791"/>
      <c r="E133" s="791"/>
      <c r="F133" s="791"/>
      <c r="G133" s="791"/>
      <c r="H133" s="791"/>
      <c r="I133" s="7"/>
      <c r="J133" s="7"/>
      <c r="K133" s="1"/>
      <c r="L133" s="1"/>
    </row>
    <row r="134" spans="1:12" ht="14.25">
      <c r="A134" s="282" t="s">
        <v>289</v>
      </c>
      <c r="B134" s="26"/>
      <c r="C134" s="26"/>
      <c r="D134" s="26"/>
      <c r="E134" s="26"/>
      <c r="F134" s="26"/>
      <c r="G134" s="26"/>
      <c r="H134" s="26"/>
      <c r="I134" s="7"/>
      <c r="J134" s="7"/>
      <c r="K134" s="1"/>
      <c r="L134" s="1"/>
    </row>
    <row r="135" spans="1:12" ht="16.5" customHeight="1">
      <c r="A135" s="544" t="s">
        <v>640</v>
      </c>
      <c r="B135" s="26"/>
      <c r="C135" s="26"/>
      <c r="D135" s="26"/>
      <c r="E135" s="26"/>
      <c r="F135" s="26"/>
      <c r="G135" s="26"/>
      <c r="H135" s="26"/>
      <c r="I135" s="7"/>
      <c r="J135" s="7"/>
      <c r="K135" s="1"/>
      <c r="L135" s="1"/>
    </row>
    <row r="136" spans="1:12" ht="15" customHeight="1">
      <c r="A136" s="1049" t="s">
        <v>562</v>
      </c>
      <c r="B136" s="1050"/>
      <c r="C136" s="1050"/>
      <c r="D136" s="1050"/>
      <c r="E136" s="1050"/>
      <c r="F136" s="1050"/>
      <c r="G136" s="1050"/>
      <c r="H136" s="1050"/>
      <c r="I136" s="7"/>
      <c r="J136" s="7"/>
      <c r="K136" s="1"/>
      <c r="L136" s="1"/>
    </row>
    <row r="137" spans="1:12" ht="17.25" customHeight="1" thickBot="1">
      <c r="A137" s="10"/>
      <c r="B137" s="10"/>
      <c r="C137" s="10"/>
      <c r="D137" s="10"/>
      <c r="E137" s="10"/>
      <c r="F137" s="10"/>
      <c r="G137" s="10"/>
      <c r="H137" s="10"/>
      <c r="I137" s="7"/>
      <c r="J137" s="7"/>
      <c r="K137" s="1"/>
      <c r="L137" s="1"/>
    </row>
    <row r="138" spans="1:12" ht="26.25" customHeight="1" thickTop="1">
      <c r="A138" s="27" t="s">
        <v>4</v>
      </c>
      <c r="B138" s="11"/>
      <c r="C138" s="945" t="s">
        <v>592</v>
      </c>
      <c r="D138" s="946"/>
      <c r="E138" s="945" t="s">
        <v>593</v>
      </c>
      <c r="F138" s="946"/>
      <c r="G138" s="945" t="s">
        <v>594</v>
      </c>
      <c r="H138" s="964"/>
      <c r="I138" s="975"/>
      <c r="J138" s="976"/>
      <c r="K138" s="25"/>
      <c r="L138" s="25"/>
    </row>
    <row r="139" spans="1:12" ht="15">
      <c r="A139" s="180" t="s">
        <v>172</v>
      </c>
      <c r="B139" s="789" t="s">
        <v>285</v>
      </c>
      <c r="C139" s="955">
        <f>CEILING(59*$Z$3,0.1)</f>
        <v>73.8</v>
      </c>
      <c r="D139" s="960"/>
      <c r="E139" s="955">
        <f>CEILING(63*$Z$3,0.1)</f>
        <v>78.80000000000001</v>
      </c>
      <c r="F139" s="960"/>
      <c r="G139" s="955">
        <f>CEILING(59*$Z$3,0.1)</f>
        <v>73.8</v>
      </c>
      <c r="H139" s="960"/>
      <c r="I139" s="949"/>
      <c r="J139" s="950"/>
      <c r="K139" s="1"/>
      <c r="L139" s="1"/>
    </row>
    <row r="140" spans="1:12" ht="19.5" customHeight="1">
      <c r="A140" s="181" t="s">
        <v>6</v>
      </c>
      <c r="B140" s="164" t="s">
        <v>286</v>
      </c>
      <c r="C140" s="955">
        <f>CEILING((C139+30*$Z$3),0.1)</f>
        <v>111.30000000000001</v>
      </c>
      <c r="D140" s="956"/>
      <c r="E140" s="955">
        <f>CEILING((E139+30*$Z$3),0.1)</f>
        <v>116.30000000000001</v>
      </c>
      <c r="F140" s="956"/>
      <c r="G140" s="955">
        <f>CEILING((G139+30*$Z$3),0.1)</f>
        <v>111.30000000000001</v>
      </c>
      <c r="H140" s="956"/>
      <c r="I140" s="949"/>
      <c r="J140" s="950"/>
      <c r="K140" s="1"/>
      <c r="L140" s="1"/>
    </row>
    <row r="141" spans="1:12" ht="16.5" customHeight="1">
      <c r="A141" s="515" t="s">
        <v>931</v>
      </c>
      <c r="B141" s="313" t="s">
        <v>9</v>
      </c>
      <c r="C141" s="955">
        <f>CEILING((C139*0.85),0.1)</f>
        <v>62.800000000000004</v>
      </c>
      <c r="D141" s="956"/>
      <c r="E141" s="955">
        <f>CEILING((E139*0.85),0.1)</f>
        <v>67</v>
      </c>
      <c r="F141" s="956"/>
      <c r="G141" s="955">
        <f>CEILING((G139*0.85),0.1)</f>
        <v>62.800000000000004</v>
      </c>
      <c r="H141" s="956"/>
      <c r="I141" s="949"/>
      <c r="J141" s="950"/>
      <c r="K141" s="1"/>
      <c r="L141" s="1"/>
    </row>
    <row r="142" spans="1:12" ht="17.25" customHeight="1">
      <c r="A142" s="571" t="s">
        <v>932</v>
      </c>
      <c r="B142" s="24" t="s">
        <v>239</v>
      </c>
      <c r="C142" s="951">
        <v>0</v>
      </c>
      <c r="D142" s="952"/>
      <c r="E142" s="951">
        <v>0</v>
      </c>
      <c r="F142" s="952"/>
      <c r="G142" s="951">
        <v>0</v>
      </c>
      <c r="H142" s="952"/>
      <c r="I142" s="949"/>
      <c r="J142" s="950"/>
      <c r="K142" s="1"/>
      <c r="L142" s="1"/>
    </row>
    <row r="143" spans="1:12" ht="17.25" customHeight="1">
      <c r="A143" s="571" t="s">
        <v>933</v>
      </c>
      <c r="B143" s="24" t="s">
        <v>659</v>
      </c>
      <c r="C143" s="951">
        <f>CEILING(85*$Z$1,0.1)</f>
        <v>106.30000000000001</v>
      </c>
      <c r="D143" s="952"/>
      <c r="E143" s="951">
        <f>CEILING(90*$Z$1,0.1)</f>
        <v>112.5</v>
      </c>
      <c r="F143" s="952"/>
      <c r="G143" s="951">
        <f>CEILING(85*$Z$1,0.1)</f>
        <v>106.30000000000001</v>
      </c>
      <c r="H143" s="952"/>
      <c r="I143" s="753"/>
      <c r="J143" s="754"/>
      <c r="K143" s="1"/>
      <c r="L143" s="1"/>
    </row>
    <row r="144" spans="1:25" ht="20.25" customHeight="1" thickBot="1">
      <c r="A144" s="378" t="s">
        <v>326</v>
      </c>
      <c r="B144" s="336" t="s">
        <v>245</v>
      </c>
      <c r="C144" s="951">
        <f>CEILING(515*$Z$1,0.1)</f>
        <v>643.8000000000001</v>
      </c>
      <c r="D144" s="952"/>
      <c r="E144" s="951">
        <f>CEILING(515*$Z$1,0.1)</f>
        <v>643.8000000000001</v>
      </c>
      <c r="F144" s="952"/>
      <c r="G144" s="951">
        <f>CEILING(515*$Z$1,0.1)</f>
        <v>643.8000000000001</v>
      </c>
      <c r="H144" s="952"/>
      <c r="I144" s="949"/>
      <c r="J144" s="950"/>
      <c r="K144" s="7"/>
      <c r="L144" s="7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</row>
    <row r="145" spans="1:25" ht="17.25" customHeight="1" thickTop="1">
      <c r="A145" s="1151" t="s">
        <v>661</v>
      </c>
      <c r="B145" s="1151"/>
      <c r="C145" s="1151"/>
      <c r="D145" s="1151"/>
      <c r="E145" s="1151"/>
      <c r="F145" s="1151"/>
      <c r="G145" s="1151"/>
      <c r="H145" s="1151"/>
      <c r="I145" s="1152"/>
      <c r="J145" s="1152"/>
      <c r="K145" s="1153"/>
      <c r="L145" s="1153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</row>
    <row r="146" spans="1:25" ht="19.5" customHeight="1">
      <c r="A146" s="544" t="s">
        <v>660</v>
      </c>
      <c r="B146" s="540"/>
      <c r="C146" s="540"/>
      <c r="D146" s="540"/>
      <c r="E146" s="540"/>
      <c r="F146" s="540"/>
      <c r="G146" s="540"/>
      <c r="H146" s="540"/>
      <c r="I146" s="540"/>
      <c r="J146" s="540"/>
      <c r="K146" s="541"/>
      <c r="L146" s="541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</row>
    <row r="147" spans="1:25" ht="17.25" customHeight="1">
      <c r="A147" s="1049" t="s">
        <v>562</v>
      </c>
      <c r="B147" s="1050"/>
      <c r="C147" s="1050"/>
      <c r="D147" s="1050"/>
      <c r="E147" s="1050"/>
      <c r="F147" s="1050"/>
      <c r="G147" s="1050"/>
      <c r="H147" s="1050"/>
      <c r="I147" s="540"/>
      <c r="J147" s="540"/>
      <c r="K147" s="541"/>
      <c r="L147" s="541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</row>
    <row r="148" spans="1:12" ht="18.75" customHeight="1" thickBot="1">
      <c r="A148" s="3"/>
      <c r="B148" s="30"/>
      <c r="C148" s="146"/>
      <c r="D148" s="146"/>
      <c r="E148" s="146"/>
      <c r="F148" s="146"/>
      <c r="G148" s="146"/>
      <c r="H148" s="146"/>
      <c r="I148" s="7"/>
      <c r="J148" s="7"/>
      <c r="K148" s="1"/>
      <c r="L148" s="1"/>
    </row>
    <row r="149" spans="1:12" ht="23.25" customHeight="1" hidden="1" thickTop="1">
      <c r="A149" s="27" t="s">
        <v>4</v>
      </c>
      <c r="B149" s="32"/>
      <c r="C149" s="945" t="s">
        <v>276</v>
      </c>
      <c r="D149" s="946"/>
      <c r="E149" s="945" t="s">
        <v>277</v>
      </c>
      <c r="F149" s="946"/>
      <c r="G149" s="945" t="s">
        <v>278</v>
      </c>
      <c r="H149" s="946"/>
      <c r="I149" s="7"/>
      <c r="J149" s="7"/>
      <c r="K149" s="1"/>
      <c r="L149" s="1"/>
    </row>
    <row r="150" spans="1:12" ht="17.25" customHeight="1" hidden="1">
      <c r="A150" s="182" t="s">
        <v>439</v>
      </c>
      <c r="B150" s="183" t="s">
        <v>281</v>
      </c>
      <c r="C150" s="1146">
        <v>69</v>
      </c>
      <c r="D150" s="1147"/>
      <c r="E150" s="1146">
        <v>77</v>
      </c>
      <c r="F150" s="1147"/>
      <c r="G150" s="1146">
        <v>69</v>
      </c>
      <c r="H150" s="1147"/>
      <c r="I150" s="7"/>
      <c r="J150" s="7"/>
      <c r="K150" s="1"/>
      <c r="L150" s="1"/>
    </row>
    <row r="151" spans="1:12" ht="18.75" customHeight="1" hidden="1">
      <c r="A151" s="515" t="s">
        <v>440</v>
      </c>
      <c r="B151" s="183" t="s">
        <v>282</v>
      </c>
      <c r="C151" s="992">
        <v>132</v>
      </c>
      <c r="D151" s="1148"/>
      <c r="E151" s="992">
        <v>140</v>
      </c>
      <c r="F151" s="1148"/>
      <c r="G151" s="992">
        <v>132</v>
      </c>
      <c r="H151" s="1148"/>
      <c r="I151" s="7"/>
      <c r="J151" s="7"/>
      <c r="K151" s="1"/>
      <c r="L151" s="1"/>
    </row>
    <row r="152" spans="1:12" ht="18.75" customHeight="1" hidden="1">
      <c r="A152" s="515"/>
      <c r="B152" s="183" t="s">
        <v>283</v>
      </c>
      <c r="C152" s="949">
        <v>115</v>
      </c>
      <c r="D152" s="953"/>
      <c r="E152" s="949">
        <v>119</v>
      </c>
      <c r="F152" s="953"/>
      <c r="G152" s="949">
        <v>115</v>
      </c>
      <c r="H152" s="953"/>
      <c r="I152" s="7"/>
      <c r="J152" s="7"/>
      <c r="K152" s="1"/>
      <c r="L152" s="1"/>
    </row>
    <row r="153" spans="1:12" ht="22.5" customHeight="1" hidden="1" thickBot="1">
      <c r="A153" s="378" t="s">
        <v>326</v>
      </c>
      <c r="B153" s="183" t="s">
        <v>284</v>
      </c>
      <c r="C153" s="949">
        <v>178</v>
      </c>
      <c r="D153" s="953"/>
      <c r="E153" s="949">
        <v>182</v>
      </c>
      <c r="F153" s="953"/>
      <c r="G153" s="949">
        <v>178</v>
      </c>
      <c r="H153" s="953"/>
      <c r="I153" s="7"/>
      <c r="J153" s="7"/>
      <c r="K153" s="1"/>
      <c r="L153" s="1"/>
    </row>
    <row r="154" spans="1:12" ht="18.75" customHeight="1" hidden="1" thickTop="1">
      <c r="A154" s="1007" t="s">
        <v>106</v>
      </c>
      <c r="B154" s="1007"/>
      <c r="C154" s="1007"/>
      <c r="D154" s="1007"/>
      <c r="E154" s="1007"/>
      <c r="F154" s="1007"/>
      <c r="G154" s="1007"/>
      <c r="H154" s="1007"/>
      <c r="I154" s="7"/>
      <c r="J154" s="7"/>
      <c r="K154" s="1"/>
      <c r="L154" s="1"/>
    </row>
    <row r="155" spans="1:12" ht="18.75" customHeight="1" hidden="1" thickBot="1">
      <c r="A155" s="3"/>
      <c r="B155" s="30"/>
      <c r="C155" s="146"/>
      <c r="D155" s="146"/>
      <c r="E155" s="146"/>
      <c r="F155" s="146"/>
      <c r="G155" s="146"/>
      <c r="H155" s="146"/>
      <c r="I155" s="7"/>
      <c r="J155" s="7"/>
      <c r="K155" s="1"/>
      <c r="L155" s="1"/>
    </row>
    <row r="156" spans="1:12" ht="24" customHeight="1" thickTop="1">
      <c r="A156" s="27" t="s">
        <v>4</v>
      </c>
      <c r="B156" s="32"/>
      <c r="C156" s="945" t="s">
        <v>592</v>
      </c>
      <c r="D156" s="946"/>
      <c r="E156" s="945" t="s">
        <v>593</v>
      </c>
      <c r="F156" s="946"/>
      <c r="G156" s="945" t="s">
        <v>594</v>
      </c>
      <c r="H156" s="964"/>
      <c r="I156" s="288"/>
      <c r="J156" s="12"/>
      <c r="K156" s="12"/>
      <c r="L156" s="12"/>
    </row>
    <row r="157" spans="1:12" ht="15">
      <c r="A157" s="182" t="s">
        <v>54</v>
      </c>
      <c r="B157" s="789" t="s">
        <v>641</v>
      </c>
      <c r="C157" s="951">
        <f>CEILING(70*$Z$1,0.1)</f>
        <v>87.5</v>
      </c>
      <c r="D157" s="954"/>
      <c r="E157" s="951">
        <f>CEILING(75*$Z$1,0.1)</f>
        <v>93.80000000000001</v>
      </c>
      <c r="F157" s="954"/>
      <c r="G157" s="951">
        <f>CEILING(70*$Z$1,0.1)</f>
        <v>87.5</v>
      </c>
      <c r="H157" s="954"/>
      <c r="I157" s="6"/>
      <c r="J157" s="7"/>
      <c r="K157" s="14"/>
      <c r="L157" s="14"/>
    </row>
    <row r="158" spans="1:12" ht="18" customHeight="1">
      <c r="A158" s="184" t="s">
        <v>18</v>
      </c>
      <c r="B158" s="784" t="s">
        <v>642</v>
      </c>
      <c r="C158" s="951">
        <f>CEILING((C157+35*$Z$1),0.1)</f>
        <v>131.3</v>
      </c>
      <c r="D158" s="952"/>
      <c r="E158" s="951">
        <f>CEILING((E157+35*$Z$1),0.1)</f>
        <v>137.6</v>
      </c>
      <c r="F158" s="952"/>
      <c r="G158" s="951">
        <f>CEILING((G157+35*$Z$1),0.1)</f>
        <v>131.3</v>
      </c>
      <c r="H158" s="952"/>
      <c r="I158" s="7"/>
      <c r="J158" s="7"/>
      <c r="K158" s="14"/>
      <c r="L158" s="14"/>
    </row>
    <row r="159" spans="1:12" ht="18.75" customHeight="1">
      <c r="A159" s="515"/>
      <c r="B159" s="784" t="s">
        <v>149</v>
      </c>
      <c r="C159" s="951">
        <f>CEILING(95*$Z$1,0.1)</f>
        <v>118.80000000000001</v>
      </c>
      <c r="D159" s="952"/>
      <c r="E159" s="951">
        <f>CEILING(100*$Z$1,0.1)</f>
        <v>125</v>
      </c>
      <c r="F159" s="952"/>
      <c r="G159" s="951">
        <f>CEILING(95*$Z$1,0.1)</f>
        <v>118.80000000000001</v>
      </c>
      <c r="H159" s="952"/>
      <c r="I159" s="7"/>
      <c r="J159" s="7"/>
      <c r="K159" s="14"/>
      <c r="L159" s="14"/>
    </row>
    <row r="160" spans="1:12" ht="18" customHeight="1" thickBot="1">
      <c r="A160" s="378" t="s">
        <v>326</v>
      </c>
      <c r="B160" s="793" t="s">
        <v>212</v>
      </c>
      <c r="C160" s="947">
        <f>CEILING((C159+35*$Z$1),0.1)</f>
        <v>162.60000000000002</v>
      </c>
      <c r="D160" s="957"/>
      <c r="E160" s="947">
        <f>CEILING((E159+35*$Z$1),0.1)</f>
        <v>168.8</v>
      </c>
      <c r="F160" s="957"/>
      <c r="G160" s="947">
        <f>CEILING((G159+35*$Z$1),0.1)</f>
        <v>162.60000000000002</v>
      </c>
      <c r="H160" s="957"/>
      <c r="I160" s="7"/>
      <c r="J160" s="7"/>
      <c r="K160" s="14"/>
      <c r="L160" s="14"/>
    </row>
    <row r="161" spans="1:12" ht="15" thickTop="1">
      <c r="A161" s="1007" t="s">
        <v>106</v>
      </c>
      <c r="B161" s="1007"/>
      <c r="C161" s="1007"/>
      <c r="D161" s="1007"/>
      <c r="E161" s="1007"/>
      <c r="F161" s="1007"/>
      <c r="G161" s="1007"/>
      <c r="H161" s="1007"/>
      <c r="I161" s="7"/>
      <c r="J161" s="7"/>
      <c r="K161" s="1"/>
      <c r="L161" s="1"/>
    </row>
    <row r="162" spans="1:12" ht="17.25" customHeight="1">
      <c r="A162" s="544" t="s">
        <v>643</v>
      </c>
      <c r="B162" s="558"/>
      <c r="C162" s="558"/>
      <c r="D162" s="558"/>
      <c r="E162" s="558"/>
      <c r="F162" s="558"/>
      <c r="G162" s="558"/>
      <c r="H162" s="558"/>
      <c r="I162" s="7"/>
      <c r="J162" s="7"/>
      <c r="K162" s="1"/>
      <c r="L162" s="1"/>
    </row>
    <row r="163" spans="1:12" ht="16.5" customHeight="1">
      <c r="A163" s="1049" t="s">
        <v>561</v>
      </c>
      <c r="B163" s="1050"/>
      <c r="C163" s="1050"/>
      <c r="D163" s="1050"/>
      <c r="E163" s="1050"/>
      <c r="F163" s="1050"/>
      <c r="G163" s="1050"/>
      <c r="H163" s="1050"/>
      <c r="I163" s="7"/>
      <c r="J163" s="7"/>
      <c r="K163" s="1"/>
      <c r="L163" s="1"/>
    </row>
    <row r="164" spans="1:12" ht="21.75" customHeight="1" thickBot="1">
      <c r="A164" s="10"/>
      <c r="B164" s="1"/>
      <c r="C164" s="1094"/>
      <c r="D164" s="1094"/>
      <c r="E164" s="1094"/>
      <c r="F164" s="1094"/>
      <c r="G164" s="1094"/>
      <c r="H164" s="1094"/>
      <c r="I164" s="7"/>
      <c r="J164" s="7"/>
      <c r="K164" s="1"/>
      <c r="L164" s="1"/>
    </row>
    <row r="165" spans="1:12" ht="24" customHeight="1" thickTop="1">
      <c r="A165" s="27" t="s">
        <v>4</v>
      </c>
      <c r="B165" s="32"/>
      <c r="C165" s="945" t="s">
        <v>592</v>
      </c>
      <c r="D165" s="946"/>
      <c r="E165" s="945" t="s">
        <v>593</v>
      </c>
      <c r="F165" s="946"/>
      <c r="G165" s="945" t="s">
        <v>594</v>
      </c>
      <c r="H165" s="964"/>
      <c r="I165" s="794"/>
      <c r="J165" s="267"/>
      <c r="K165" s="1"/>
      <c r="L165" s="1"/>
    </row>
    <row r="166" spans="1:12" ht="15">
      <c r="A166" s="185" t="s">
        <v>17</v>
      </c>
      <c r="B166" s="287" t="s">
        <v>11</v>
      </c>
      <c r="C166" s="951">
        <f>CEILING(68*$Z$1,0.1)</f>
        <v>85</v>
      </c>
      <c r="D166" s="954"/>
      <c r="E166" s="951">
        <f>CEILING(75*$Z$1,0.1)</f>
        <v>93.80000000000001</v>
      </c>
      <c r="F166" s="954"/>
      <c r="G166" s="951">
        <f>CEILING(68*$Z$1,0.1)</f>
        <v>85</v>
      </c>
      <c r="H166" s="954"/>
      <c r="I166" s="1109"/>
      <c r="J166" s="1053"/>
      <c r="K166" s="1"/>
      <c r="L166" s="1"/>
    </row>
    <row r="167" spans="1:12" ht="15">
      <c r="A167" s="184" t="s">
        <v>18</v>
      </c>
      <c r="B167" s="784" t="s">
        <v>7</v>
      </c>
      <c r="C167" s="951">
        <f>CEILING((C166+30*$Z$1),0.1)</f>
        <v>122.5</v>
      </c>
      <c r="D167" s="952"/>
      <c r="E167" s="951">
        <f>CEILING((E166+30*$Z$1),0.1)</f>
        <v>131.3</v>
      </c>
      <c r="F167" s="952"/>
      <c r="G167" s="951">
        <f>CEILING((G166+30*$Z$1),0.1)</f>
        <v>122.5</v>
      </c>
      <c r="H167" s="952"/>
      <c r="I167" s="1053"/>
      <c r="J167" s="1053"/>
      <c r="K167" s="1"/>
      <c r="L167" s="1"/>
    </row>
    <row r="168" spans="1:12" ht="16.5" customHeight="1">
      <c r="A168" s="184"/>
      <c r="B168" s="784" t="s">
        <v>9</v>
      </c>
      <c r="C168" s="951">
        <f>CEILING((C166*0.85),0.1)</f>
        <v>72.3</v>
      </c>
      <c r="D168" s="952"/>
      <c r="E168" s="951">
        <f>CEILING((E166*0.85),0.1)</f>
        <v>79.80000000000001</v>
      </c>
      <c r="F168" s="952"/>
      <c r="G168" s="951">
        <f>CEILING((G166*0.85),0.1)</f>
        <v>72.3</v>
      </c>
      <c r="H168" s="952"/>
      <c r="I168" s="1053"/>
      <c r="J168" s="1053"/>
      <c r="K168" s="1"/>
      <c r="L168" s="1"/>
    </row>
    <row r="169" spans="1:12" ht="15.75" customHeight="1">
      <c r="A169" s="173"/>
      <c r="B169" s="208" t="s">
        <v>97</v>
      </c>
      <c r="C169" s="951">
        <f>CEILING((C166*0.5),0.1)</f>
        <v>42.5</v>
      </c>
      <c r="D169" s="952"/>
      <c r="E169" s="951">
        <f>CEILING((E166*0.5),0.1)</f>
        <v>46.900000000000006</v>
      </c>
      <c r="F169" s="952"/>
      <c r="G169" s="951">
        <f>CEILING((G166*0.5),0.1)</f>
        <v>42.5</v>
      </c>
      <c r="H169" s="952"/>
      <c r="I169" s="1053"/>
      <c r="J169" s="1053"/>
      <c r="K169" s="1"/>
      <c r="L169" s="1"/>
    </row>
    <row r="170" spans="1:12" ht="15.75" customHeight="1">
      <c r="A170" s="796"/>
      <c r="B170" s="292" t="s">
        <v>104</v>
      </c>
      <c r="C170" s="951">
        <f>CEILING(83*$Z$1,0.1)</f>
        <v>103.80000000000001</v>
      </c>
      <c r="D170" s="952"/>
      <c r="E170" s="951">
        <f>CEILING(90*$Z$1,0.1)</f>
        <v>112.5</v>
      </c>
      <c r="F170" s="952"/>
      <c r="G170" s="951">
        <f>CEILING(83*$Z$1,0.1)</f>
        <v>103.80000000000001</v>
      </c>
      <c r="H170" s="952"/>
      <c r="I170" s="757"/>
      <c r="J170" s="757"/>
      <c r="K170" s="1"/>
      <c r="L170" s="1"/>
    </row>
    <row r="171" spans="1:12" ht="15.75" customHeight="1">
      <c r="A171" s="796"/>
      <c r="B171" s="292" t="s">
        <v>105</v>
      </c>
      <c r="C171" s="947">
        <f>CEILING((C170+30*$Z$1),0.1)</f>
        <v>141.3</v>
      </c>
      <c r="D171" s="957"/>
      <c r="E171" s="947">
        <f>CEILING((E170+30*$Z$1),0.1)</f>
        <v>150</v>
      </c>
      <c r="F171" s="957"/>
      <c r="G171" s="947">
        <f>CEILING((G170+30*$Z$1),0.1)</f>
        <v>141.3</v>
      </c>
      <c r="H171" s="957"/>
      <c r="I171" s="757"/>
      <c r="J171" s="757"/>
      <c r="K171" s="1"/>
      <c r="L171" s="1"/>
    </row>
    <row r="172" spans="1:12" ht="15.75" customHeight="1">
      <c r="A172" s="186"/>
      <c r="B172" s="292" t="s">
        <v>13</v>
      </c>
      <c r="C172" s="951">
        <f>CEILING(98*$Z$1,0.1)</f>
        <v>122.5</v>
      </c>
      <c r="D172" s="952"/>
      <c r="E172" s="951">
        <f>CEILING(105*$Z$1,0.1)</f>
        <v>131.3</v>
      </c>
      <c r="F172" s="952"/>
      <c r="G172" s="951">
        <f>CEILING(98*$Z$1,0.1)</f>
        <v>122.5</v>
      </c>
      <c r="H172" s="952"/>
      <c r="I172" s="1053"/>
      <c r="J172" s="1053"/>
      <c r="K172" s="1"/>
      <c r="L172" s="1"/>
    </row>
    <row r="173" spans="1:12" ht="15.75" customHeight="1">
      <c r="A173" s="797"/>
      <c r="B173" s="292" t="s">
        <v>62</v>
      </c>
      <c r="C173" s="951">
        <f>CEILING((C172+35*$Z$1),0.1)</f>
        <v>166.3</v>
      </c>
      <c r="D173" s="952"/>
      <c r="E173" s="951">
        <f>CEILING((E172+35*$Z$1),0.1)</f>
        <v>175.10000000000002</v>
      </c>
      <c r="F173" s="952"/>
      <c r="G173" s="951">
        <f>CEILING((G172+35*$Z$1),0.1)</f>
        <v>166.3</v>
      </c>
      <c r="H173" s="952"/>
      <c r="I173" s="757"/>
      <c r="J173" s="757"/>
      <c r="K173" s="1"/>
      <c r="L173" s="1"/>
    </row>
    <row r="174" spans="1:12" ht="16.5" customHeight="1" thickBot="1">
      <c r="A174" s="378" t="s">
        <v>454</v>
      </c>
      <c r="B174" s="292" t="s">
        <v>644</v>
      </c>
      <c r="C174" s="951">
        <f>CEILING(88*$Z$1,0.1)</f>
        <v>110</v>
      </c>
      <c r="D174" s="952"/>
      <c r="E174" s="951">
        <f>CEILING(95*$Z$1,0.1)</f>
        <v>118.80000000000001</v>
      </c>
      <c r="F174" s="952"/>
      <c r="G174" s="951">
        <f>CEILING(88*$Z$1,0.1)</f>
        <v>110</v>
      </c>
      <c r="H174" s="952"/>
      <c r="I174" s="1053"/>
      <c r="J174" s="1053"/>
      <c r="K174" s="1"/>
      <c r="L174" s="1"/>
    </row>
    <row r="175" spans="1:12" ht="22.5" customHeight="1" thickBot="1" thickTop="1">
      <c r="A175" s="1149"/>
      <c r="B175" s="1149"/>
      <c r="C175" s="1149"/>
      <c r="D175" s="1149"/>
      <c r="E175" s="1149"/>
      <c r="F175" s="1149"/>
      <c r="G175" s="1149"/>
      <c r="H175" s="1150"/>
      <c r="I175" s="268"/>
      <c r="J175" s="268"/>
      <c r="K175" s="1"/>
      <c r="L175" s="1"/>
    </row>
    <row r="176" spans="1:12" ht="16.5" customHeight="1" thickTop="1">
      <c r="A176" s="185" t="s">
        <v>65</v>
      </c>
      <c r="B176" s="347" t="s">
        <v>463</v>
      </c>
      <c r="C176" s="951">
        <f>CEILING(88*$Z$1,0.1)</f>
        <v>110</v>
      </c>
      <c r="D176" s="954"/>
      <c r="E176" s="951">
        <f>CEILING(95*$Z$1,0.1)</f>
        <v>118.80000000000001</v>
      </c>
      <c r="F176" s="954"/>
      <c r="G176" s="951">
        <f>CEILING(88*$Z$1,0.1)</f>
        <v>110</v>
      </c>
      <c r="H176" s="954"/>
      <c r="I176" s="1109"/>
      <c r="J176" s="1053"/>
      <c r="K176" s="1"/>
      <c r="L176" s="1"/>
    </row>
    <row r="177" spans="1:12" ht="15">
      <c r="A177" s="184" t="s">
        <v>18</v>
      </c>
      <c r="B177" s="347" t="s">
        <v>464</v>
      </c>
      <c r="C177" s="951">
        <f>CEILING((C176+35*$Z$1),0.1)</f>
        <v>153.8</v>
      </c>
      <c r="D177" s="952"/>
      <c r="E177" s="951">
        <f>CEILING((E176+35*$Z$1),0.1)</f>
        <v>162.60000000000002</v>
      </c>
      <c r="F177" s="952"/>
      <c r="G177" s="951">
        <f>CEILING((G176+35*$Z$1),0.1)</f>
        <v>153.8</v>
      </c>
      <c r="H177" s="952"/>
      <c r="I177" s="1053"/>
      <c r="J177" s="1053"/>
      <c r="K177" s="1"/>
      <c r="L177" s="1"/>
    </row>
    <row r="178" spans="1:12" ht="15">
      <c r="A178" s="184"/>
      <c r="B178" s="161" t="s">
        <v>9</v>
      </c>
      <c r="C178" s="951">
        <f>CEILING((C176*0.85),0.1)</f>
        <v>93.5</v>
      </c>
      <c r="D178" s="952"/>
      <c r="E178" s="951">
        <f>CEILING((E176*0.85),0.1)</f>
        <v>101</v>
      </c>
      <c r="F178" s="952"/>
      <c r="G178" s="951">
        <f>CEILING((G176*0.85),0.1)</f>
        <v>93.5</v>
      </c>
      <c r="H178" s="952"/>
      <c r="I178" s="538"/>
      <c r="J178" s="538"/>
      <c r="K178" s="1"/>
      <c r="L178" s="1"/>
    </row>
    <row r="179" spans="1:12" ht="15">
      <c r="A179" s="184"/>
      <c r="B179" s="161" t="s">
        <v>97</v>
      </c>
      <c r="C179" s="951">
        <f>CEILING((C176*0.5),0.1)</f>
        <v>55</v>
      </c>
      <c r="D179" s="952"/>
      <c r="E179" s="951">
        <f>CEILING((E176*0.5),0.1)</f>
        <v>59.400000000000006</v>
      </c>
      <c r="F179" s="952"/>
      <c r="G179" s="951">
        <f>CEILING((G176*0.5),0.1)</f>
        <v>55</v>
      </c>
      <c r="H179" s="952"/>
      <c r="I179" s="538"/>
      <c r="J179" s="538"/>
      <c r="K179" s="1"/>
      <c r="L179" s="1"/>
    </row>
    <row r="180" spans="1:12" ht="15">
      <c r="A180" s="184"/>
      <c r="B180" s="347" t="s">
        <v>186</v>
      </c>
      <c r="C180" s="951">
        <f>CEILING(108*$Z$1,0.1)</f>
        <v>135</v>
      </c>
      <c r="D180" s="952"/>
      <c r="E180" s="951">
        <f>CEILING(115*$Z$1,0.1)</f>
        <v>143.8</v>
      </c>
      <c r="F180" s="952"/>
      <c r="G180" s="951">
        <f>CEILING(108*$Z$1,0.1)</f>
        <v>135</v>
      </c>
      <c r="H180" s="952"/>
      <c r="I180" s="1053"/>
      <c r="J180" s="1053"/>
      <c r="K180" s="1"/>
      <c r="L180" s="1"/>
    </row>
    <row r="181" spans="1:12" ht="14.25">
      <c r="A181" s="259"/>
      <c r="B181" s="396" t="s">
        <v>187</v>
      </c>
      <c r="C181" s="947">
        <f>CEILING((C180+45*$Z$1),0.1)</f>
        <v>191.3</v>
      </c>
      <c r="D181" s="957"/>
      <c r="E181" s="947">
        <f>CEILING((E180+45*$Z$1),0.1)</f>
        <v>200.10000000000002</v>
      </c>
      <c r="F181" s="957"/>
      <c r="G181" s="947">
        <f>CEILING((G180+45*$Z$1),0.1)</f>
        <v>191.3</v>
      </c>
      <c r="H181" s="957"/>
      <c r="I181" s="1053"/>
      <c r="J181" s="1053"/>
      <c r="K181" s="1"/>
      <c r="L181" s="1"/>
    </row>
    <row r="182" spans="1:12" ht="18" customHeight="1" thickBot="1">
      <c r="A182" s="378" t="s">
        <v>462</v>
      </c>
      <c r="B182" s="795" t="s">
        <v>465</v>
      </c>
      <c r="C182" s="967">
        <f>CEILING(375*$Z$1,0.1)</f>
        <v>468.8</v>
      </c>
      <c r="D182" s="973"/>
      <c r="E182" s="967">
        <f>CEILING(375*$Z$1,0.1)</f>
        <v>468.8</v>
      </c>
      <c r="F182" s="973"/>
      <c r="G182" s="967">
        <f>CEILING(375*$Z$1,0.1)</f>
        <v>468.8</v>
      </c>
      <c r="H182" s="973"/>
      <c r="I182" s="1053"/>
      <c r="J182" s="1053"/>
      <c r="K182" s="1"/>
      <c r="L182" s="1"/>
    </row>
    <row r="183" spans="1:12" ht="15.75" customHeight="1" thickTop="1">
      <c r="A183" s="375" t="s">
        <v>647</v>
      </c>
      <c r="B183" s="375"/>
      <c r="C183" s="375"/>
      <c r="D183" s="375"/>
      <c r="E183" s="375"/>
      <c r="F183" s="375"/>
      <c r="G183" s="375"/>
      <c r="H183" s="375"/>
      <c r="I183" s="375"/>
      <c r="J183" s="375"/>
      <c r="K183" s="376"/>
      <c r="L183" s="376"/>
    </row>
    <row r="184" spans="1:12" ht="17.25" customHeight="1">
      <c r="A184" s="375" t="s">
        <v>645</v>
      </c>
      <c r="B184" s="375"/>
      <c r="C184" s="375"/>
      <c r="D184" s="375"/>
      <c r="E184" s="375"/>
      <c r="F184" s="375"/>
      <c r="G184" s="375"/>
      <c r="H184" s="375"/>
      <c r="I184" s="375"/>
      <c r="J184" s="375"/>
      <c r="K184" s="377"/>
      <c r="L184" s="377"/>
    </row>
    <row r="185" spans="1:12" ht="18" customHeight="1">
      <c r="A185" s="375" t="s">
        <v>646</v>
      </c>
      <c r="B185" s="343"/>
      <c r="C185" s="149"/>
      <c r="D185" s="149"/>
      <c r="E185" s="149"/>
      <c r="F185" s="149"/>
      <c r="G185" s="149"/>
      <c r="H185" s="149"/>
      <c r="I185" s="149"/>
      <c r="J185" s="149"/>
      <c r="K185" s="377"/>
      <c r="L185" s="377"/>
    </row>
    <row r="186" spans="1:12" ht="17.25" customHeight="1">
      <c r="A186" s="316" t="s">
        <v>648</v>
      </c>
      <c r="B186" s="343"/>
      <c r="C186" s="149"/>
      <c r="D186" s="149"/>
      <c r="E186" s="149"/>
      <c r="F186" s="149"/>
      <c r="G186" s="149"/>
      <c r="H186" s="149"/>
      <c r="I186" s="149"/>
      <c r="J186" s="149"/>
      <c r="K186" s="377"/>
      <c r="L186" s="377"/>
    </row>
    <row r="187" spans="1:12" ht="15.75" customHeight="1">
      <c r="A187" s="1049" t="s">
        <v>561</v>
      </c>
      <c r="B187" s="1050"/>
      <c r="C187" s="1050"/>
      <c r="D187" s="1050"/>
      <c r="E187" s="1050"/>
      <c r="F187" s="1050"/>
      <c r="G187" s="1050"/>
      <c r="H187" s="1050"/>
      <c r="I187" s="149"/>
      <c r="J187" s="149"/>
      <c r="K187" s="377"/>
      <c r="L187" s="377"/>
    </row>
    <row r="188" spans="1:12" ht="15.75" customHeight="1" thickBot="1">
      <c r="A188" s="10"/>
      <c r="B188" s="10"/>
      <c r="C188" s="35"/>
      <c r="D188" s="35"/>
      <c r="E188" s="35"/>
      <c r="F188" s="35"/>
      <c r="G188" s="35"/>
      <c r="H188" s="35"/>
      <c r="I188" s="7"/>
      <c r="J188" s="7"/>
      <c r="K188" s="1"/>
      <c r="L188" s="1"/>
    </row>
    <row r="189" spans="1:12" ht="22.5" customHeight="1" thickTop="1">
      <c r="A189" s="5" t="s">
        <v>4</v>
      </c>
      <c r="B189" s="11"/>
      <c r="C189" s="945" t="s">
        <v>592</v>
      </c>
      <c r="D189" s="946"/>
      <c r="E189" s="945" t="s">
        <v>593</v>
      </c>
      <c r="F189" s="946"/>
      <c r="G189" s="945" t="s">
        <v>594</v>
      </c>
      <c r="H189" s="964"/>
      <c r="I189" s="975"/>
      <c r="J189" s="976"/>
      <c r="K189" s="12"/>
      <c r="L189" s="12"/>
    </row>
    <row r="190" spans="1:12" ht="15">
      <c r="A190" s="187" t="s">
        <v>150</v>
      </c>
      <c r="B190" s="325" t="s">
        <v>53</v>
      </c>
      <c r="C190" s="955">
        <f>CEILING(45*$Z$3,0.1)</f>
        <v>56.300000000000004</v>
      </c>
      <c r="D190" s="960"/>
      <c r="E190" s="955">
        <f>CEILING(49*$Z$3,0.1)</f>
        <v>61.300000000000004</v>
      </c>
      <c r="F190" s="960"/>
      <c r="G190" s="955">
        <f>CEILING(45*$Z$3,0.1)</f>
        <v>56.300000000000004</v>
      </c>
      <c r="H190" s="960"/>
      <c r="I190" s="949"/>
      <c r="J190" s="950"/>
      <c r="K190" s="1"/>
      <c r="L190" s="1"/>
    </row>
    <row r="191" spans="1:12" ht="16.5" customHeight="1">
      <c r="A191" s="188" t="s">
        <v>18</v>
      </c>
      <c r="B191" s="164" t="s">
        <v>107</v>
      </c>
      <c r="C191" s="955">
        <f>CEILING((C190+25*$Z$3),0.1)</f>
        <v>87.60000000000001</v>
      </c>
      <c r="D191" s="956"/>
      <c r="E191" s="955">
        <f>CEILING((E190+25*$Z$3),0.1)</f>
        <v>92.60000000000001</v>
      </c>
      <c r="F191" s="956"/>
      <c r="G191" s="955">
        <f>CEILING((G190+25*$Z$3),0.1)</f>
        <v>87.60000000000001</v>
      </c>
      <c r="H191" s="956"/>
      <c r="I191" s="949"/>
      <c r="J191" s="950"/>
      <c r="K191" s="1"/>
      <c r="L191" s="1"/>
    </row>
    <row r="192" spans="1:12" ht="15">
      <c r="A192" s="188"/>
      <c r="B192" s="784" t="s">
        <v>79</v>
      </c>
      <c r="C192" s="955">
        <f>CEILING((C190*0.85),0.1)</f>
        <v>47.900000000000006</v>
      </c>
      <c r="D192" s="956"/>
      <c r="E192" s="955">
        <f>CEILING((E190*0.85),0.1)</f>
        <v>52.2</v>
      </c>
      <c r="F192" s="956"/>
      <c r="G192" s="955">
        <f>CEILING((G190*0.85),0.1)</f>
        <v>47.900000000000006</v>
      </c>
      <c r="H192" s="956"/>
      <c r="I192" s="949"/>
      <c r="J192" s="950"/>
      <c r="K192" s="1"/>
      <c r="L192" s="1"/>
    </row>
    <row r="193" spans="1:12" ht="14.25">
      <c r="A193" s="515" t="s">
        <v>931</v>
      </c>
      <c r="B193" s="208" t="s">
        <v>97</v>
      </c>
      <c r="C193" s="951">
        <v>0</v>
      </c>
      <c r="D193" s="952"/>
      <c r="E193" s="951">
        <v>0</v>
      </c>
      <c r="F193" s="952"/>
      <c r="G193" s="951">
        <v>0</v>
      </c>
      <c r="H193" s="952"/>
      <c r="I193" s="534"/>
      <c r="J193" s="535"/>
      <c r="K193" s="1"/>
      <c r="L193" s="1"/>
    </row>
    <row r="194" spans="1:12" ht="15.75" customHeight="1">
      <c r="A194" s="571" t="s">
        <v>932</v>
      </c>
      <c r="B194" s="164" t="s">
        <v>260</v>
      </c>
      <c r="C194" s="951">
        <f>CEILING(65*$Z$1,0.1)</f>
        <v>81.30000000000001</v>
      </c>
      <c r="D194" s="952"/>
      <c r="E194" s="951">
        <f>CEILING(70*$Z$1,0.1)</f>
        <v>87.5</v>
      </c>
      <c r="F194" s="952"/>
      <c r="G194" s="951">
        <f>CEILING(65*$Z$1,0.1)</f>
        <v>81.30000000000001</v>
      </c>
      <c r="H194" s="952"/>
      <c r="I194" s="949"/>
      <c r="J194" s="950"/>
      <c r="K194" s="1"/>
      <c r="L194" s="1"/>
    </row>
    <row r="195" spans="1:12" ht="16.5" customHeight="1">
      <c r="A195" s="571" t="s">
        <v>936</v>
      </c>
      <c r="B195" s="164" t="s">
        <v>297</v>
      </c>
      <c r="C195" s="947">
        <f>CEILING((C194+25*$Z$1),0.1)</f>
        <v>112.60000000000001</v>
      </c>
      <c r="D195" s="957"/>
      <c r="E195" s="947">
        <f>CEILING((E194+25*$Z$1),0.1)</f>
        <v>118.80000000000001</v>
      </c>
      <c r="F195" s="957"/>
      <c r="G195" s="947">
        <f>CEILING((G194+25*$Z$1),0.1)</f>
        <v>112.60000000000001</v>
      </c>
      <c r="H195" s="957"/>
      <c r="I195" s="949"/>
      <c r="J195" s="950"/>
      <c r="K195" s="1"/>
      <c r="L195" s="1"/>
    </row>
    <row r="196" spans="1:12" ht="17.25" customHeight="1">
      <c r="A196" s="189"/>
      <c r="B196" s="784" t="s">
        <v>13</v>
      </c>
      <c r="C196" s="951">
        <f>CEILING(75*$Z$1,0.1)</f>
        <v>93.80000000000001</v>
      </c>
      <c r="D196" s="952"/>
      <c r="E196" s="951">
        <f>CEILING(80*$Z$1,0.1)</f>
        <v>100</v>
      </c>
      <c r="F196" s="952"/>
      <c r="G196" s="951">
        <f>CEILING(75*$Z$1,0.1)</f>
        <v>93.80000000000001</v>
      </c>
      <c r="H196" s="952"/>
      <c r="I196" s="949"/>
      <c r="J196" s="950"/>
      <c r="K196" s="1"/>
      <c r="L196" s="1"/>
    </row>
    <row r="197" spans="1:12" ht="16.5" customHeight="1">
      <c r="A197" s="189"/>
      <c r="B197" s="164" t="s">
        <v>62</v>
      </c>
      <c r="C197" s="947">
        <f>CEILING((C196+40*$Z$1),0.1)</f>
        <v>143.8</v>
      </c>
      <c r="D197" s="957"/>
      <c r="E197" s="947">
        <f>CEILING((E196+40*$Z$1),0.1)</f>
        <v>150</v>
      </c>
      <c r="F197" s="957"/>
      <c r="G197" s="947">
        <f>CEILING((G196+40*$Z$1),0.1)</f>
        <v>143.8</v>
      </c>
      <c r="H197" s="957"/>
      <c r="I197" s="949"/>
      <c r="J197" s="950"/>
      <c r="K197" s="1"/>
      <c r="L197" s="1"/>
    </row>
    <row r="198" spans="1:12" ht="16.5" customHeight="1">
      <c r="A198" s="189"/>
      <c r="B198" s="800" t="s">
        <v>662</v>
      </c>
      <c r="C198" s="951">
        <f>CEILING(80*$Z$1,0.1)</f>
        <v>100</v>
      </c>
      <c r="D198" s="952"/>
      <c r="E198" s="951">
        <f>CEILING(85*$Z$1,0.1)</f>
        <v>106.30000000000001</v>
      </c>
      <c r="F198" s="952"/>
      <c r="G198" s="951">
        <f>CEILING(80*$Z$1,0.1)</f>
        <v>100</v>
      </c>
      <c r="H198" s="952"/>
      <c r="I198" s="534"/>
      <c r="J198" s="535"/>
      <c r="K198" s="1"/>
      <c r="L198" s="1"/>
    </row>
    <row r="199" spans="1:12" ht="16.5" customHeight="1">
      <c r="A199" s="189"/>
      <c r="B199" s="800" t="s">
        <v>663</v>
      </c>
      <c r="C199" s="951">
        <f>CEILING((C198+40*$Z$1),0.1)</f>
        <v>150</v>
      </c>
      <c r="D199" s="952"/>
      <c r="E199" s="951">
        <f>CEILING((E198+40*$Z$1),0.1)</f>
        <v>156.3</v>
      </c>
      <c r="F199" s="952"/>
      <c r="G199" s="951">
        <f>CEILING((G198+40*$Z$1),0.1)</f>
        <v>150</v>
      </c>
      <c r="H199" s="952"/>
      <c r="I199" s="949"/>
      <c r="J199" s="950"/>
      <c r="K199" s="1"/>
      <c r="L199" s="1"/>
    </row>
    <row r="200" spans="1:12" ht="19.5" customHeight="1" thickBot="1">
      <c r="A200" s="378" t="s">
        <v>454</v>
      </c>
      <c r="B200" s="784" t="s">
        <v>664</v>
      </c>
      <c r="C200" s="951">
        <f>CEILING(295*$Z$1,0.1)</f>
        <v>368.8</v>
      </c>
      <c r="D200" s="952"/>
      <c r="E200" s="951">
        <f>CEILING(295*$Z$1,0.1)</f>
        <v>368.8</v>
      </c>
      <c r="F200" s="952"/>
      <c r="G200" s="951">
        <f>CEILING(295*$Z$1,0.1)</f>
        <v>368.8</v>
      </c>
      <c r="H200" s="952"/>
      <c r="I200" s="949"/>
      <c r="J200" s="950"/>
      <c r="K200" s="1"/>
      <c r="L200" s="1"/>
    </row>
    <row r="201" spans="1:12" ht="15.75" customHeight="1" thickTop="1">
      <c r="A201" s="1145" t="s">
        <v>665</v>
      </c>
      <c r="B201" s="1145"/>
      <c r="C201" s="1145"/>
      <c r="D201" s="1145"/>
      <c r="E201" s="1145"/>
      <c r="F201" s="1145"/>
      <c r="G201" s="1145"/>
      <c r="H201" s="1145"/>
      <c r="I201" s="7"/>
      <c r="J201" s="7"/>
      <c r="K201" s="7"/>
      <c r="L201" s="7"/>
    </row>
    <row r="202" spans="1:12" ht="16.5" customHeight="1">
      <c r="A202" s="375" t="s">
        <v>666</v>
      </c>
      <c r="B202" s="375"/>
      <c r="C202" s="375"/>
      <c r="D202" s="375"/>
      <c r="E202" s="375"/>
      <c r="F202" s="375"/>
      <c r="G202" s="375"/>
      <c r="H202" s="375"/>
      <c r="I202" s="7"/>
      <c r="J202" s="7"/>
      <c r="K202" s="7"/>
      <c r="L202" s="7"/>
    </row>
    <row r="203" spans="1:12" ht="17.25" customHeight="1">
      <c r="A203" s="375" t="s">
        <v>667</v>
      </c>
      <c r="B203" s="375"/>
      <c r="C203" s="375"/>
      <c r="D203" s="375"/>
      <c r="E203" s="375"/>
      <c r="F203" s="375"/>
      <c r="G203" s="375"/>
      <c r="H203" s="375"/>
      <c r="I203" s="7"/>
      <c r="J203" s="7"/>
      <c r="K203" s="7"/>
      <c r="L203" s="7"/>
    </row>
    <row r="204" spans="1:12" ht="17.25" customHeight="1">
      <c r="A204" s="375" t="s">
        <v>669</v>
      </c>
      <c r="B204" s="375"/>
      <c r="C204" s="375"/>
      <c r="D204" s="375"/>
      <c r="E204" s="375"/>
      <c r="F204" s="375"/>
      <c r="G204" s="375"/>
      <c r="H204" s="375"/>
      <c r="I204" s="7"/>
      <c r="J204" s="7"/>
      <c r="K204" s="7"/>
      <c r="L204" s="7"/>
    </row>
    <row r="205" spans="1:12" ht="17.25" customHeight="1">
      <c r="A205" s="316" t="s">
        <v>668</v>
      </c>
      <c r="B205" s="316"/>
      <c r="C205" s="316"/>
      <c r="D205" s="316"/>
      <c r="E205" s="316"/>
      <c r="F205" s="316"/>
      <c r="G205" s="147"/>
      <c r="H205" s="147"/>
      <c r="I205" s="7"/>
      <c r="J205" s="7"/>
      <c r="K205" s="7"/>
      <c r="L205" s="7"/>
    </row>
    <row r="206" spans="1:12" ht="17.25" customHeight="1">
      <c r="A206" s="1049" t="s">
        <v>562</v>
      </c>
      <c r="B206" s="1050"/>
      <c r="C206" s="1050"/>
      <c r="D206" s="1050"/>
      <c r="E206" s="1050"/>
      <c r="F206" s="1050"/>
      <c r="G206" s="1050"/>
      <c r="H206" s="1050"/>
      <c r="I206" s="7"/>
      <c r="J206" s="7"/>
      <c r="K206" s="7"/>
      <c r="L206" s="7"/>
    </row>
    <row r="207" spans="1:12" ht="17.25" customHeight="1" thickBot="1">
      <c r="A207" s="36"/>
      <c r="B207" s="36"/>
      <c r="C207" s="36"/>
      <c r="D207" s="36"/>
      <c r="E207" s="36"/>
      <c r="F207" s="36"/>
      <c r="G207" s="36"/>
      <c r="H207" s="36"/>
      <c r="I207" s="7"/>
      <c r="J207" s="7"/>
      <c r="K207" s="7"/>
      <c r="L207" s="7"/>
    </row>
    <row r="208" spans="1:12" ht="24.75" customHeight="1" thickTop="1">
      <c r="A208" s="5" t="s">
        <v>4</v>
      </c>
      <c r="B208" s="11"/>
      <c r="C208" s="945" t="s">
        <v>592</v>
      </c>
      <c r="D208" s="946"/>
      <c r="E208" s="945" t="s">
        <v>593</v>
      </c>
      <c r="F208" s="946"/>
      <c r="G208" s="945" t="s">
        <v>594</v>
      </c>
      <c r="H208" s="964"/>
      <c r="I208" s="975"/>
      <c r="J208" s="976"/>
      <c r="K208" s="38"/>
      <c r="L208" s="38"/>
    </row>
    <row r="209" spans="1:12" ht="15.75" customHeight="1">
      <c r="A209" s="190" t="s">
        <v>44</v>
      </c>
      <c r="B209" s="325" t="s">
        <v>11</v>
      </c>
      <c r="C209" s="955">
        <f>CEILING(92*$Z$1,0.1)</f>
        <v>115</v>
      </c>
      <c r="D209" s="960"/>
      <c r="E209" s="955">
        <f>CEILING(104*$Z$1,0.1)</f>
        <v>130</v>
      </c>
      <c r="F209" s="960"/>
      <c r="G209" s="955">
        <f>CEILING(88*$Z$1,0.1)</f>
        <v>110</v>
      </c>
      <c r="H209" s="960"/>
      <c r="I209" s="949"/>
      <c r="J209" s="950"/>
      <c r="K209" s="39"/>
      <c r="L209" s="39"/>
    </row>
    <row r="210" spans="1:12" ht="16.5" customHeight="1">
      <c r="A210" s="192" t="s">
        <v>6</v>
      </c>
      <c r="B210" s="314" t="s">
        <v>7</v>
      </c>
      <c r="C210" s="955">
        <f>CEILING((C209+45*$Z$1),0.1)</f>
        <v>171.3</v>
      </c>
      <c r="D210" s="956"/>
      <c r="E210" s="955">
        <f>CEILING((E209+45*$Z$1),0.1)</f>
        <v>186.3</v>
      </c>
      <c r="F210" s="956"/>
      <c r="G210" s="955">
        <f>CEILING((G209+45*$Z$1),0.1)</f>
        <v>166.3</v>
      </c>
      <c r="H210" s="956"/>
      <c r="I210" s="949"/>
      <c r="J210" s="950"/>
      <c r="K210" s="39"/>
      <c r="L210" s="39"/>
    </row>
    <row r="211" spans="1:12" ht="16.5" customHeight="1">
      <c r="A211" s="192"/>
      <c r="B211" s="314" t="s">
        <v>9</v>
      </c>
      <c r="C211" s="955">
        <f>CEILING((C209*0.85),0.1)</f>
        <v>97.80000000000001</v>
      </c>
      <c r="D211" s="956"/>
      <c r="E211" s="955">
        <f>CEILING((E209*0.85),0.1)</f>
        <v>110.5</v>
      </c>
      <c r="F211" s="956"/>
      <c r="G211" s="955">
        <f>CEILING((G209*0.85),0.1)</f>
        <v>93.5</v>
      </c>
      <c r="H211" s="956"/>
      <c r="I211" s="949"/>
      <c r="J211" s="950"/>
      <c r="K211" s="39"/>
      <c r="L211" s="39"/>
    </row>
    <row r="212" spans="1:12" ht="16.5" customHeight="1">
      <c r="A212" s="515" t="s">
        <v>898</v>
      </c>
      <c r="B212" s="313" t="s">
        <v>680</v>
      </c>
      <c r="C212" s="955">
        <f>CEILING((C209*0.5),0.1)</f>
        <v>57.5</v>
      </c>
      <c r="D212" s="956"/>
      <c r="E212" s="955">
        <f>CEILING((E209*0.7),0.1)</f>
        <v>91</v>
      </c>
      <c r="F212" s="956"/>
      <c r="G212" s="955">
        <f>CEILING((G209*0.5),0.1)</f>
        <v>55</v>
      </c>
      <c r="H212" s="956"/>
      <c r="I212" s="949"/>
      <c r="J212" s="950"/>
      <c r="K212" s="39"/>
      <c r="L212" s="39"/>
    </row>
    <row r="213" spans="1:12" ht="17.25" customHeight="1">
      <c r="A213" s="571" t="s">
        <v>899</v>
      </c>
      <c r="B213" s="488" t="s">
        <v>193</v>
      </c>
      <c r="C213" s="955">
        <f>CEILING(117*$Z$1,0.1)</f>
        <v>146.3</v>
      </c>
      <c r="D213" s="956"/>
      <c r="E213" s="955">
        <f>CEILING(129*$Z$1,0.1)</f>
        <v>161.3</v>
      </c>
      <c r="F213" s="956"/>
      <c r="G213" s="955">
        <f>CEILING(113*$Z$1,0.1)</f>
        <v>141.3</v>
      </c>
      <c r="H213" s="956"/>
      <c r="I213" s="961"/>
      <c r="J213" s="962"/>
      <c r="K213" s="39"/>
      <c r="L213" s="39"/>
    </row>
    <row r="214" spans="1:12" ht="16.5" customHeight="1">
      <c r="A214" s="183"/>
      <c r="B214" s="314" t="s">
        <v>194</v>
      </c>
      <c r="C214" s="971">
        <f>CEILING((C213+45*$Z$1),0.1)</f>
        <v>202.60000000000002</v>
      </c>
      <c r="D214" s="972"/>
      <c r="E214" s="971">
        <f>CEILING((E213+45*$Z$1),0.1)</f>
        <v>217.60000000000002</v>
      </c>
      <c r="F214" s="972"/>
      <c r="G214" s="971">
        <f>CEILING((G213+45*$Z$1),0.1)</f>
        <v>197.60000000000002</v>
      </c>
      <c r="H214" s="972"/>
      <c r="I214" s="961"/>
      <c r="J214" s="962"/>
      <c r="K214" s="39"/>
      <c r="L214" s="39"/>
    </row>
    <row r="215" spans="1:12" ht="17.25" customHeight="1" thickBot="1">
      <c r="A215" s="193" t="s">
        <v>472</v>
      </c>
      <c r="B215" s="326" t="s">
        <v>473</v>
      </c>
      <c r="C215" s="967">
        <f>CEILING(1100*$Z$1,0.1)</f>
        <v>1375</v>
      </c>
      <c r="D215" s="973"/>
      <c r="E215" s="967">
        <f>CEILING(1100*$Z$1,0.1)</f>
        <v>1375</v>
      </c>
      <c r="F215" s="973"/>
      <c r="G215" s="967">
        <f>CEILING(1100*$Z$1,0.1)</f>
        <v>1375</v>
      </c>
      <c r="H215" s="973"/>
      <c r="I215" s="961"/>
      <c r="J215" s="962"/>
      <c r="K215" s="39"/>
      <c r="L215" s="39"/>
    </row>
    <row r="216" spans="1:12" ht="17.25" customHeight="1" hidden="1" thickTop="1">
      <c r="A216" s="316"/>
      <c r="B216" s="802"/>
      <c r="C216" s="756"/>
      <c r="D216" s="756"/>
      <c r="E216" s="756"/>
      <c r="F216" s="756"/>
      <c r="G216" s="756"/>
      <c r="H216" s="756"/>
      <c r="I216" s="755"/>
      <c r="J216" s="755"/>
      <c r="K216" s="39"/>
      <c r="L216" s="39"/>
    </row>
    <row r="217" spans="1:12" ht="19.5" customHeight="1" thickBot="1" thickTop="1">
      <c r="A217" s="562"/>
      <c r="B217" s="10"/>
      <c r="C217" s="10"/>
      <c r="D217" s="10"/>
      <c r="E217" s="10"/>
      <c r="F217" s="10"/>
      <c r="G217" s="10"/>
      <c r="H217" s="10"/>
      <c r="I217" s="268"/>
      <c r="J217" s="268"/>
      <c r="K217" s="7"/>
      <c r="L217" s="7"/>
    </row>
    <row r="218" spans="1:12" ht="23.25" customHeight="1" thickTop="1">
      <c r="A218" s="5" t="s">
        <v>4</v>
      </c>
      <c r="B218" s="11"/>
      <c r="C218" s="945" t="s">
        <v>592</v>
      </c>
      <c r="D218" s="946"/>
      <c r="E218" s="945" t="s">
        <v>593</v>
      </c>
      <c r="F218" s="946"/>
      <c r="G218" s="945" t="s">
        <v>594</v>
      </c>
      <c r="H218" s="964"/>
      <c r="I218" s="564"/>
      <c r="J218" s="38"/>
      <c r="K218" s="38"/>
      <c r="L218" s="38"/>
    </row>
    <row r="219" spans="1:12" ht="15.75" customHeight="1">
      <c r="A219" s="194" t="s">
        <v>67</v>
      </c>
      <c r="B219" s="164" t="s">
        <v>11</v>
      </c>
      <c r="C219" s="955">
        <f>CEILING(57*$Z$1,0.1)</f>
        <v>71.3</v>
      </c>
      <c r="D219" s="960"/>
      <c r="E219" s="955">
        <f>CEILING(66*$Z$1,0.1)</f>
        <v>82.5</v>
      </c>
      <c r="F219" s="960"/>
      <c r="G219" s="955">
        <f>CEILING(57*$Z$1,0.1)</f>
        <v>71.3</v>
      </c>
      <c r="H219" s="960"/>
      <c r="I219" s="20"/>
      <c r="J219" s="16"/>
      <c r="K219" s="14"/>
      <c r="L219" s="14"/>
    </row>
    <row r="220" spans="1:12" ht="17.25" customHeight="1">
      <c r="A220" s="188" t="s">
        <v>6</v>
      </c>
      <c r="B220" s="784" t="s">
        <v>7</v>
      </c>
      <c r="C220" s="955">
        <f>CEILING((C219+35*$Z$1),0.1)</f>
        <v>115.10000000000001</v>
      </c>
      <c r="D220" s="956"/>
      <c r="E220" s="955">
        <f>CEILING((E219+35*$Z$1),0.1)</f>
        <v>126.30000000000001</v>
      </c>
      <c r="F220" s="956"/>
      <c r="G220" s="955">
        <f>CEILING((G219+35*$Z$1),0.1)</f>
        <v>115.10000000000001</v>
      </c>
      <c r="H220" s="956"/>
      <c r="I220" s="16"/>
      <c r="J220" s="16"/>
      <c r="K220" s="14"/>
      <c r="L220" s="14"/>
    </row>
    <row r="221" spans="1:12" ht="15.75" customHeight="1">
      <c r="A221" s="195"/>
      <c r="B221" s="161" t="s">
        <v>9</v>
      </c>
      <c r="C221" s="955">
        <f>CEILING((C219*0.85),0.1)</f>
        <v>60.7</v>
      </c>
      <c r="D221" s="956"/>
      <c r="E221" s="955">
        <f>CEILING((E219*0.85),0.1)</f>
        <v>70.2</v>
      </c>
      <c r="F221" s="956"/>
      <c r="G221" s="955">
        <f>CEILING((G219*0.85),0.1)</f>
        <v>60.7</v>
      </c>
      <c r="H221" s="956"/>
      <c r="I221" s="16"/>
      <c r="J221" s="16"/>
      <c r="K221" s="14"/>
      <c r="L221" s="14"/>
    </row>
    <row r="222" spans="1:12" ht="16.5" customHeight="1">
      <c r="A222" s="515" t="s">
        <v>898</v>
      </c>
      <c r="B222" s="784" t="s">
        <v>97</v>
      </c>
      <c r="C222" s="955">
        <v>0</v>
      </c>
      <c r="D222" s="956"/>
      <c r="E222" s="955">
        <f>CEILING((E219*0.5),0.1)</f>
        <v>41.300000000000004</v>
      </c>
      <c r="F222" s="956"/>
      <c r="G222" s="955">
        <v>0</v>
      </c>
      <c r="H222" s="956"/>
      <c r="I222" s="16"/>
      <c r="J222" s="16"/>
      <c r="K222" s="14"/>
      <c r="L222" s="14"/>
    </row>
    <row r="223" spans="1:12" ht="15.75" customHeight="1">
      <c r="A223" s="571" t="s">
        <v>899</v>
      </c>
      <c r="B223" s="164" t="s">
        <v>74</v>
      </c>
      <c r="C223" s="955">
        <f>CEILING(72*$Z$1,0.1)</f>
        <v>90</v>
      </c>
      <c r="D223" s="956"/>
      <c r="E223" s="955">
        <f>CEILING(81*$Z$1,0.1)</f>
        <v>101.30000000000001</v>
      </c>
      <c r="F223" s="956"/>
      <c r="G223" s="955">
        <f>CEILING(72*$Z$1,0.1)</f>
        <v>90</v>
      </c>
      <c r="H223" s="956"/>
      <c r="I223" s="16"/>
      <c r="J223" s="16"/>
      <c r="K223" s="14"/>
      <c r="L223" s="14"/>
    </row>
    <row r="224" spans="1:12" ht="15.75" customHeight="1">
      <c r="A224" s="195"/>
      <c r="B224" s="164" t="s">
        <v>75</v>
      </c>
      <c r="C224" s="971">
        <f>CEILING((C223+35*$Z$1),0.1)</f>
        <v>133.8</v>
      </c>
      <c r="D224" s="972"/>
      <c r="E224" s="971">
        <f>CEILING((E223+35*$Z$1),0.1)</f>
        <v>145.1</v>
      </c>
      <c r="F224" s="972"/>
      <c r="G224" s="971">
        <f>CEILING((G223+35*$Z$1),0.1)</f>
        <v>133.8</v>
      </c>
      <c r="H224" s="972"/>
      <c r="I224" s="16"/>
      <c r="J224" s="16"/>
      <c r="K224" s="14"/>
      <c r="L224" s="14"/>
    </row>
    <row r="225" spans="1:12" ht="15" customHeight="1">
      <c r="A225" s="188"/>
      <c r="B225" s="164" t="s">
        <v>177</v>
      </c>
      <c r="C225" s="951">
        <f>CEILING(86*$Z$1,0.1)</f>
        <v>107.5</v>
      </c>
      <c r="D225" s="952"/>
      <c r="E225" s="951">
        <f>CEILING(102*$Z$1,0.1)</f>
        <v>127.5</v>
      </c>
      <c r="F225" s="952"/>
      <c r="G225" s="951">
        <f>CEILING(86*$Z$1,0.1)</f>
        <v>107.5</v>
      </c>
      <c r="H225" s="952"/>
      <c r="I225" s="16"/>
      <c r="J225" s="16"/>
      <c r="K225" s="14"/>
      <c r="L225" s="14"/>
    </row>
    <row r="226" spans="1:12" ht="15.75" customHeight="1">
      <c r="A226" s="312"/>
      <c r="B226" s="317" t="s">
        <v>221</v>
      </c>
      <c r="C226" s="951">
        <f>CEILING(96*$Z$1,0.1)</f>
        <v>120</v>
      </c>
      <c r="D226" s="952"/>
      <c r="E226" s="951">
        <f>CEILING(112*$Z$1,0.1)</f>
        <v>140</v>
      </c>
      <c r="F226" s="952"/>
      <c r="G226" s="951">
        <f>CEILING(96*$Z$1,0.1)</f>
        <v>120</v>
      </c>
      <c r="H226" s="952"/>
      <c r="I226" s="16"/>
      <c r="J226" s="16"/>
      <c r="K226" s="14"/>
      <c r="L226" s="14"/>
    </row>
    <row r="227" spans="1:12" ht="15" customHeight="1">
      <c r="A227" s="312"/>
      <c r="B227" s="161" t="s">
        <v>78</v>
      </c>
      <c r="C227" s="955">
        <f>CEILING(82*$Z$1,0.1)</f>
        <v>102.5</v>
      </c>
      <c r="D227" s="956"/>
      <c r="E227" s="955">
        <f>CEILING(91*$Z$1,0.1)</f>
        <v>113.80000000000001</v>
      </c>
      <c r="F227" s="956"/>
      <c r="G227" s="955">
        <f>CEILING(82*$Z$1,0.1)</f>
        <v>102.5</v>
      </c>
      <c r="H227" s="956"/>
      <c r="I227" s="16"/>
      <c r="J227" s="16"/>
      <c r="K227" s="14"/>
      <c r="L227" s="14"/>
    </row>
    <row r="228" spans="1:12" ht="15" thickBot="1">
      <c r="A228" s="193" t="s">
        <v>342</v>
      </c>
      <c r="B228" s="793" t="s">
        <v>77</v>
      </c>
      <c r="C228" s="978">
        <f>CEILING((C227+35*$Z$1),0.1)</f>
        <v>146.3</v>
      </c>
      <c r="D228" s="1070"/>
      <c r="E228" s="978">
        <f>CEILING((E227+35*$Z$1),0.1)</f>
        <v>157.60000000000002</v>
      </c>
      <c r="F228" s="1070"/>
      <c r="G228" s="978">
        <f>CEILING((G227+35*$Z$1),0.1)</f>
        <v>146.3</v>
      </c>
      <c r="H228" s="1070"/>
      <c r="I228" s="17"/>
      <c r="J228" s="17"/>
      <c r="K228" s="14"/>
      <c r="L228" s="14"/>
    </row>
    <row r="229" spans="1:12" ht="15" thickTop="1">
      <c r="A229" s="1067" t="s">
        <v>670</v>
      </c>
      <c r="B229" s="1067"/>
      <c r="C229" s="1067"/>
      <c r="D229" s="1067"/>
      <c r="E229" s="1067"/>
      <c r="F229" s="1067"/>
      <c r="G229" s="1067"/>
      <c r="H229" s="1067"/>
      <c r="I229" s="1068"/>
      <c r="J229" s="1068"/>
      <c r="K229" s="1068"/>
      <c r="L229" s="1068"/>
    </row>
    <row r="230" spans="1:12" ht="14.25">
      <c r="A230" s="1069" t="s">
        <v>671</v>
      </c>
      <c r="B230" s="1069"/>
      <c r="C230" s="1069"/>
      <c r="D230" s="1069"/>
      <c r="E230" s="1069"/>
      <c r="F230" s="1069"/>
      <c r="G230" s="1069"/>
      <c r="H230" s="1069"/>
      <c r="I230" s="319"/>
      <c r="J230" s="319"/>
      <c r="K230" s="539"/>
      <c r="L230" s="539"/>
    </row>
    <row r="231" spans="1:12" ht="14.25" hidden="1">
      <c r="A231" s="316"/>
      <c r="B231" s="761"/>
      <c r="C231" s="761"/>
      <c r="D231" s="761"/>
      <c r="E231" s="761"/>
      <c r="F231" s="761"/>
      <c r="G231" s="761"/>
      <c r="H231" s="761"/>
      <c r="I231" s="319"/>
      <c r="J231" s="319"/>
      <c r="K231" s="760"/>
      <c r="L231" s="760"/>
    </row>
    <row r="232" spans="1:12" ht="18.75" customHeight="1" thickBot="1">
      <c r="A232" s="562"/>
      <c r="B232" s="578"/>
      <c r="C232" s="578"/>
      <c r="D232" s="578"/>
      <c r="E232" s="578"/>
      <c r="F232" s="578"/>
      <c r="G232" s="578"/>
      <c r="H232" s="578"/>
      <c r="I232" s="319"/>
      <c r="J232" s="319"/>
      <c r="K232" s="539"/>
      <c r="L232" s="539"/>
    </row>
    <row r="233" spans="1:12" ht="23.25" customHeight="1" thickTop="1">
      <c r="A233" s="5" t="s">
        <v>4</v>
      </c>
      <c r="B233" s="11"/>
      <c r="C233" s="945" t="s">
        <v>592</v>
      </c>
      <c r="D233" s="946"/>
      <c r="E233" s="945" t="s">
        <v>593</v>
      </c>
      <c r="F233" s="946"/>
      <c r="G233" s="945" t="s">
        <v>594</v>
      </c>
      <c r="H233" s="964"/>
      <c r="I233" s="1174"/>
      <c r="J233" s="1175"/>
      <c r="K233" s="539"/>
      <c r="L233" s="539"/>
    </row>
    <row r="234" spans="1:12" ht="15">
      <c r="A234" s="565" t="s">
        <v>475</v>
      </c>
      <c r="B234" s="164" t="s">
        <v>11</v>
      </c>
      <c r="C234" s="955">
        <f>CEILING(65*$Z$1,0.1)</f>
        <v>81.30000000000001</v>
      </c>
      <c r="D234" s="960"/>
      <c r="E234" s="955">
        <f>CEILING(75*$Z$1,0.1)</f>
        <v>93.80000000000001</v>
      </c>
      <c r="F234" s="960"/>
      <c r="G234" s="955">
        <f>CEILING(65*$Z$1,0.1)</f>
        <v>81.30000000000001</v>
      </c>
      <c r="H234" s="960"/>
      <c r="I234" s="961"/>
      <c r="J234" s="962"/>
      <c r="K234" s="539"/>
      <c r="L234" s="539"/>
    </row>
    <row r="235" spans="1:12" ht="15">
      <c r="A235" s="567" t="s">
        <v>6</v>
      </c>
      <c r="B235" s="784" t="s">
        <v>7</v>
      </c>
      <c r="C235" s="955">
        <f>CEILING((C234+40*$Z$1),0.1)</f>
        <v>131.3</v>
      </c>
      <c r="D235" s="956"/>
      <c r="E235" s="955">
        <f>CEILING((E234+40*$Z$1),0.1)</f>
        <v>143.8</v>
      </c>
      <c r="F235" s="956"/>
      <c r="G235" s="955">
        <f>CEILING((G234+40*$Z$1),0.1)</f>
        <v>131.3</v>
      </c>
      <c r="H235" s="956"/>
      <c r="I235" s="961"/>
      <c r="J235" s="962"/>
      <c r="K235" s="539"/>
      <c r="L235" s="539"/>
    </row>
    <row r="236" spans="1:12" ht="15.75">
      <c r="A236" s="570"/>
      <c r="B236" s="784" t="s">
        <v>97</v>
      </c>
      <c r="C236" s="955">
        <v>0</v>
      </c>
      <c r="D236" s="956"/>
      <c r="E236" s="955">
        <f>CEILING((E234*0.5),0.1)</f>
        <v>46.900000000000006</v>
      </c>
      <c r="F236" s="956"/>
      <c r="G236" s="955">
        <v>0</v>
      </c>
      <c r="H236" s="956"/>
      <c r="I236" s="961"/>
      <c r="J236" s="962"/>
      <c r="K236" s="539"/>
      <c r="L236" s="539"/>
    </row>
    <row r="237" spans="1:12" ht="14.25">
      <c r="A237" s="515" t="s">
        <v>898</v>
      </c>
      <c r="B237" s="164" t="s">
        <v>74</v>
      </c>
      <c r="C237" s="955">
        <f>CEILING(80*$Z$1,0.1)</f>
        <v>100</v>
      </c>
      <c r="D237" s="956"/>
      <c r="E237" s="955">
        <f>CEILING(90*$Z$1,0.1)</f>
        <v>112.5</v>
      </c>
      <c r="F237" s="956"/>
      <c r="G237" s="955">
        <f>CEILING(80*$Z$1,0.1)</f>
        <v>100</v>
      </c>
      <c r="H237" s="956"/>
      <c r="I237" s="961"/>
      <c r="J237" s="962"/>
      <c r="K237" s="539"/>
      <c r="L237" s="539"/>
    </row>
    <row r="238" spans="1:12" ht="14.25">
      <c r="A238" s="571" t="s">
        <v>899</v>
      </c>
      <c r="B238" s="164" t="s">
        <v>75</v>
      </c>
      <c r="C238" s="971">
        <f>CEILING((C237+40*$Z$1),0.1)</f>
        <v>150</v>
      </c>
      <c r="D238" s="972"/>
      <c r="E238" s="971">
        <f>CEILING((E237+40*$Z$1),0.1)</f>
        <v>162.5</v>
      </c>
      <c r="F238" s="972"/>
      <c r="G238" s="971">
        <f>CEILING((G237+40*$Z$1),0.1)</f>
        <v>150</v>
      </c>
      <c r="H238" s="972"/>
      <c r="I238" s="961"/>
      <c r="J238" s="962"/>
      <c r="K238" s="539"/>
      <c r="L238" s="539"/>
    </row>
    <row r="239" spans="1:12" ht="15.75">
      <c r="A239" s="569"/>
      <c r="B239" s="784" t="s">
        <v>193</v>
      </c>
      <c r="C239" s="955">
        <f>CEILING(85*$Z$1,0.1)</f>
        <v>106.30000000000001</v>
      </c>
      <c r="D239" s="956"/>
      <c r="E239" s="955">
        <f>CEILING(95*$Z$1,0.1)</f>
        <v>118.80000000000001</v>
      </c>
      <c r="F239" s="956"/>
      <c r="G239" s="955">
        <f>CEILING(85*$Z$1,0.1)</f>
        <v>106.30000000000001</v>
      </c>
      <c r="H239" s="956"/>
      <c r="I239" s="961"/>
      <c r="J239" s="962"/>
      <c r="K239" s="539"/>
      <c r="L239" s="539"/>
    </row>
    <row r="240" spans="1:12" ht="15.75">
      <c r="A240" s="569"/>
      <c r="B240" s="801" t="s">
        <v>194</v>
      </c>
      <c r="C240" s="1057">
        <f>CEILING((C239+40*$Z$1),0.1)</f>
        <v>156.3</v>
      </c>
      <c r="D240" s="1058"/>
      <c r="E240" s="1057">
        <f>CEILING((E239+40*$Z$1),0.1)</f>
        <v>168.8</v>
      </c>
      <c r="F240" s="1058"/>
      <c r="G240" s="1057">
        <f>CEILING((G239+40*$Z$1),0.1)</f>
        <v>156.3</v>
      </c>
      <c r="H240" s="1058"/>
      <c r="I240" s="961"/>
      <c r="J240" s="962"/>
      <c r="K240" s="539"/>
      <c r="L240" s="539"/>
    </row>
    <row r="241" spans="1:12" ht="15.75">
      <c r="A241" s="569"/>
      <c r="B241" s="784" t="s">
        <v>476</v>
      </c>
      <c r="C241" s="955">
        <f>CEILING(75*$Z$1,0.1)</f>
        <v>93.80000000000001</v>
      </c>
      <c r="D241" s="956"/>
      <c r="E241" s="955">
        <f>CEILING(85*$Z$1,0.1)</f>
        <v>106.30000000000001</v>
      </c>
      <c r="F241" s="956"/>
      <c r="G241" s="955">
        <f>CEILING(75*$Z$1,0.1)</f>
        <v>93.80000000000001</v>
      </c>
      <c r="H241" s="956"/>
      <c r="I241" s="752"/>
      <c r="J241" s="755"/>
      <c r="K241" s="760"/>
      <c r="L241" s="760"/>
    </row>
    <row r="242" spans="1:12" ht="15.75">
      <c r="A242" s="569"/>
      <c r="B242" s="784" t="s">
        <v>477</v>
      </c>
      <c r="C242" s="971">
        <f>CEILING((C241+40*$Z$1),0.1)</f>
        <v>143.8</v>
      </c>
      <c r="D242" s="972"/>
      <c r="E242" s="971">
        <f>CEILING((E241+40*$Z$1),0.1)</f>
        <v>156.3</v>
      </c>
      <c r="F242" s="972"/>
      <c r="G242" s="971">
        <f>CEILING((G241+40*$Z$1),0.1)</f>
        <v>143.8</v>
      </c>
      <c r="H242" s="972"/>
      <c r="I242" s="752"/>
      <c r="J242" s="755"/>
      <c r="K242" s="760"/>
      <c r="L242" s="760"/>
    </row>
    <row r="243" spans="1:12" ht="15.75">
      <c r="A243" s="569"/>
      <c r="B243" s="784" t="s">
        <v>672</v>
      </c>
      <c r="C243" s="955">
        <f>CEILING(90*$Z$1,0.1)</f>
        <v>112.5</v>
      </c>
      <c r="D243" s="956"/>
      <c r="E243" s="955">
        <f>CEILING(100*$Z$1,0.1)</f>
        <v>125</v>
      </c>
      <c r="F243" s="956"/>
      <c r="G243" s="955">
        <f>CEILING(90*$Z$1,0.1)</f>
        <v>112.5</v>
      </c>
      <c r="H243" s="956"/>
      <c r="I243" s="752"/>
      <c r="J243" s="755"/>
      <c r="K243" s="760"/>
      <c r="L243" s="760"/>
    </row>
    <row r="244" spans="1:12" ht="15.75">
      <c r="A244" s="569"/>
      <c r="B244" s="784" t="s">
        <v>673</v>
      </c>
      <c r="C244" s="971">
        <f>CEILING((C243+40*$Z$1),0.1)</f>
        <v>162.5</v>
      </c>
      <c r="D244" s="972"/>
      <c r="E244" s="971">
        <f>CEILING((E243+40*$Z$1),0.1)</f>
        <v>175</v>
      </c>
      <c r="F244" s="972"/>
      <c r="G244" s="971">
        <f>CEILING((G243+40*$Z$1),0.1)</f>
        <v>162.5</v>
      </c>
      <c r="H244" s="972"/>
      <c r="I244" s="752"/>
      <c r="J244" s="755"/>
      <c r="K244" s="760"/>
      <c r="L244" s="760"/>
    </row>
    <row r="245" spans="1:12" ht="15.75">
      <c r="A245" s="569"/>
      <c r="B245" s="784" t="s">
        <v>674</v>
      </c>
      <c r="C245" s="955">
        <f>CEILING(100*$Z$1,0.1)</f>
        <v>125</v>
      </c>
      <c r="D245" s="956"/>
      <c r="E245" s="955">
        <f>CEILING(110*$Z$1,0.1)</f>
        <v>137.5</v>
      </c>
      <c r="F245" s="956"/>
      <c r="G245" s="955">
        <f>CEILING(100*$Z$1,0.1)</f>
        <v>125</v>
      </c>
      <c r="H245" s="956"/>
      <c r="I245" s="752"/>
      <c r="J245" s="755"/>
      <c r="K245" s="760"/>
      <c r="L245" s="760"/>
    </row>
    <row r="246" spans="1:12" ht="15.75">
      <c r="A246" s="569"/>
      <c r="B246" s="801" t="s">
        <v>675</v>
      </c>
      <c r="C246" s="1057">
        <f>CEILING((C245+40*$Z$1),0.1)</f>
        <v>175</v>
      </c>
      <c r="D246" s="1058"/>
      <c r="E246" s="1057">
        <f>CEILING((E245+40*$Z$1),0.1)</f>
        <v>187.5</v>
      </c>
      <c r="F246" s="1058"/>
      <c r="G246" s="1057">
        <f>CEILING((G245+40*$Z$1),0.1)</f>
        <v>175</v>
      </c>
      <c r="H246" s="1058"/>
      <c r="I246" s="752"/>
      <c r="J246" s="755"/>
      <c r="K246" s="760"/>
      <c r="L246" s="760"/>
    </row>
    <row r="247" spans="1:12" ht="15.75">
      <c r="A247" s="569"/>
      <c r="B247" s="784" t="s">
        <v>676</v>
      </c>
      <c r="C247" s="951">
        <f>CEILING(96*$Z$1,0.1)</f>
        <v>120</v>
      </c>
      <c r="D247" s="952"/>
      <c r="E247" s="951">
        <f>CEILING(112*$Z$1,0.1)</f>
        <v>140</v>
      </c>
      <c r="F247" s="952"/>
      <c r="G247" s="951">
        <f>CEILING(96*$Z$1,0.1)</f>
        <v>120</v>
      </c>
      <c r="H247" s="952"/>
      <c r="I247" s="752"/>
      <c r="J247" s="755"/>
      <c r="K247" s="760"/>
      <c r="L247" s="760"/>
    </row>
    <row r="248" spans="1:12" ht="15">
      <c r="A248" s="567"/>
      <c r="B248" s="784" t="s">
        <v>677</v>
      </c>
      <c r="C248" s="951">
        <f>CEILING((C247*0.5),0.1)</f>
        <v>60</v>
      </c>
      <c r="D248" s="952"/>
      <c r="E248" s="951">
        <f>CEILING((E247*0.5),0.1)</f>
        <v>70</v>
      </c>
      <c r="F248" s="952"/>
      <c r="G248" s="951">
        <f>CEILING((G247*0.5),0.1)</f>
        <v>60</v>
      </c>
      <c r="H248" s="952"/>
      <c r="I248" s="961"/>
      <c r="J248" s="962"/>
      <c r="K248" s="539"/>
      <c r="L248" s="539"/>
    </row>
    <row r="249" spans="1:12" ht="15" thickBot="1">
      <c r="A249" s="573" t="s">
        <v>232</v>
      </c>
      <c r="B249" s="793" t="s">
        <v>678</v>
      </c>
      <c r="C249" s="967">
        <f>CEILING((C247*0.7),0.1)</f>
        <v>84</v>
      </c>
      <c r="D249" s="973"/>
      <c r="E249" s="967">
        <f>CEILING((E247*0.7),0.1)</f>
        <v>98</v>
      </c>
      <c r="F249" s="973"/>
      <c r="G249" s="967">
        <f>CEILING((G247*0.7),0.1)</f>
        <v>84</v>
      </c>
      <c r="H249" s="973"/>
      <c r="I249" s="621"/>
      <c r="J249" s="622"/>
      <c r="K249" s="624"/>
      <c r="L249" s="624"/>
    </row>
    <row r="250" spans="1:12" ht="17.25" customHeight="1" thickTop="1">
      <c r="A250" s="1067" t="s">
        <v>679</v>
      </c>
      <c r="B250" s="1067"/>
      <c r="C250" s="1067"/>
      <c r="D250" s="1067"/>
      <c r="E250" s="1067"/>
      <c r="F250" s="1067"/>
      <c r="G250" s="1067"/>
      <c r="H250" s="1067"/>
      <c r="I250" s="1129"/>
      <c r="J250" s="1129"/>
      <c r="K250" s="539"/>
      <c r="L250" s="539"/>
    </row>
    <row r="251" spans="1:12" ht="14.25">
      <c r="A251" s="9" t="s">
        <v>478</v>
      </c>
      <c r="B251" s="576"/>
      <c r="C251" s="576"/>
      <c r="D251" s="576"/>
      <c r="E251" s="576"/>
      <c r="F251" s="576"/>
      <c r="G251" s="576"/>
      <c r="H251" s="576"/>
      <c r="I251" s="577"/>
      <c r="J251" s="577"/>
      <c r="K251" s="539"/>
      <c r="L251" s="539"/>
    </row>
    <row r="252" spans="1:12" ht="14.25" hidden="1">
      <c r="A252" s="316"/>
      <c r="B252" s="576"/>
      <c r="C252" s="576"/>
      <c r="D252" s="576"/>
      <c r="E252" s="576"/>
      <c r="F252" s="576"/>
      <c r="G252" s="576"/>
      <c r="H252" s="576"/>
      <c r="I252" s="577"/>
      <c r="J252" s="577"/>
      <c r="K252" s="760"/>
      <c r="L252" s="760"/>
    </row>
    <row r="253" spans="1:12" ht="18" customHeight="1" thickBot="1">
      <c r="A253" s="10"/>
      <c r="B253" s="40"/>
      <c r="C253" s="41"/>
      <c r="D253" s="41"/>
      <c r="E253" s="41"/>
      <c r="F253" s="41"/>
      <c r="G253" s="41"/>
      <c r="H253" s="41"/>
      <c r="I253" s="17"/>
      <c r="J253" s="17"/>
      <c r="K253" s="14"/>
      <c r="L253" s="14"/>
    </row>
    <row r="254" spans="1:12" ht="21.75" customHeight="1" thickTop="1">
      <c r="A254" s="5" t="s">
        <v>4</v>
      </c>
      <c r="B254" s="11"/>
      <c r="C254" s="945" t="s">
        <v>592</v>
      </c>
      <c r="D254" s="946"/>
      <c r="E254" s="945" t="s">
        <v>593</v>
      </c>
      <c r="F254" s="946"/>
      <c r="G254" s="945" t="s">
        <v>594</v>
      </c>
      <c r="H254" s="964"/>
      <c r="I254" s="564"/>
      <c r="J254" s="38"/>
      <c r="K254" s="38"/>
      <c r="L254" s="38"/>
    </row>
    <row r="255" spans="1:12" ht="15">
      <c r="A255" s="13" t="s">
        <v>57</v>
      </c>
      <c r="B255" s="42" t="s">
        <v>11</v>
      </c>
      <c r="C255" s="951">
        <f>CEILING(68*$Z$1,0.1)</f>
        <v>85</v>
      </c>
      <c r="D255" s="954"/>
      <c r="E255" s="951">
        <f>CEILING(82*$Z$1,0.1)</f>
        <v>102.5</v>
      </c>
      <c r="F255" s="954"/>
      <c r="G255" s="951">
        <f>CEILING(68*$Z$1,0.1)</f>
        <v>85</v>
      </c>
      <c r="H255" s="954"/>
      <c r="I255" s="43"/>
      <c r="J255" s="39"/>
      <c r="K255" s="39"/>
      <c r="L255" s="39"/>
    </row>
    <row r="256" spans="1:12" ht="15">
      <c r="A256" s="15" t="s">
        <v>154</v>
      </c>
      <c r="B256" s="19" t="s">
        <v>7</v>
      </c>
      <c r="C256" s="951">
        <f>CEILING((C255+30*$Z$1),0.1)</f>
        <v>122.5</v>
      </c>
      <c r="D256" s="952"/>
      <c r="E256" s="951">
        <f>CEILING((E255+30*$Z$1),0.1)</f>
        <v>140</v>
      </c>
      <c r="F256" s="952"/>
      <c r="G256" s="951">
        <f>CEILING((G255+30*$Z$1),0.1)</f>
        <v>122.5</v>
      </c>
      <c r="H256" s="952"/>
      <c r="I256" s="39"/>
      <c r="J256" s="39"/>
      <c r="K256" s="39"/>
      <c r="L256" s="39"/>
    </row>
    <row r="257" spans="1:12" ht="14.25">
      <c r="A257" s="571"/>
      <c r="B257" s="308" t="s">
        <v>9</v>
      </c>
      <c r="C257" s="951">
        <f>CEILING((C255*0.85),0.1)</f>
        <v>72.3</v>
      </c>
      <c r="D257" s="952"/>
      <c r="E257" s="951">
        <f>CEILING((E255*0.85),0.1)</f>
        <v>87.2</v>
      </c>
      <c r="F257" s="952"/>
      <c r="G257" s="951">
        <f>CEILING((G255*0.85),0.1)</f>
        <v>72.3</v>
      </c>
      <c r="H257" s="952"/>
      <c r="I257" s="43"/>
      <c r="J257" s="39"/>
      <c r="K257" s="39"/>
      <c r="L257" s="39"/>
    </row>
    <row r="258" spans="1:12" ht="14.25">
      <c r="A258" s="571"/>
      <c r="B258" s="313" t="s">
        <v>681</v>
      </c>
      <c r="C258" s="951">
        <v>0</v>
      </c>
      <c r="D258" s="952"/>
      <c r="E258" s="951">
        <f>CEILING((E255*0.5),0.1)</f>
        <v>51.300000000000004</v>
      </c>
      <c r="F258" s="952"/>
      <c r="G258" s="951">
        <v>0</v>
      </c>
      <c r="H258" s="952"/>
      <c r="I258" s="39"/>
      <c r="J258" s="39"/>
      <c r="K258" s="39"/>
      <c r="L258" s="39"/>
    </row>
    <row r="259" spans="1:12" ht="17.25" customHeight="1" thickBot="1">
      <c r="A259" s="193" t="s">
        <v>472</v>
      </c>
      <c r="B259" s="258" t="s">
        <v>474</v>
      </c>
      <c r="C259" s="967">
        <f>CEILING(78*$Z$1,0.1)</f>
        <v>97.5</v>
      </c>
      <c r="D259" s="973"/>
      <c r="E259" s="967">
        <f>CEILING(92*$Z$1,0.1)</f>
        <v>115</v>
      </c>
      <c r="F259" s="973"/>
      <c r="G259" s="967">
        <f>CEILING(78*$Z$1,0.1)</f>
        <v>97.5</v>
      </c>
      <c r="H259" s="973"/>
      <c r="I259" s="17"/>
      <c r="J259" s="17"/>
      <c r="K259" s="17"/>
      <c r="L259" s="17"/>
    </row>
    <row r="260" spans="1:12" ht="15.75" customHeight="1" thickTop="1">
      <c r="A260" s="1067" t="s">
        <v>222</v>
      </c>
      <c r="B260" s="1067"/>
      <c r="C260" s="1067"/>
      <c r="D260" s="1067"/>
      <c r="E260" s="1067"/>
      <c r="F260" s="1067"/>
      <c r="G260" s="1067"/>
      <c r="H260" s="1067"/>
      <c r="I260" s="1068"/>
      <c r="J260" s="1068"/>
      <c r="K260" s="1068"/>
      <c r="L260" s="1068"/>
    </row>
    <row r="261" spans="1:12" ht="17.25" customHeight="1" hidden="1">
      <c r="A261" s="316" t="s">
        <v>682</v>
      </c>
      <c r="B261" s="761"/>
      <c r="C261" s="761"/>
      <c r="D261" s="761"/>
      <c r="E261" s="761"/>
      <c r="F261" s="761"/>
      <c r="G261" s="761"/>
      <c r="H261" s="761"/>
      <c r="I261" s="762"/>
      <c r="J261" s="762"/>
      <c r="K261" s="762"/>
      <c r="L261" s="762"/>
    </row>
    <row r="262" spans="1:12" ht="21" customHeight="1" thickBot="1">
      <c r="A262" s="10"/>
      <c r="B262" s="10"/>
      <c r="C262" s="10"/>
      <c r="D262" s="10"/>
      <c r="E262" s="10"/>
      <c r="F262" s="10"/>
      <c r="G262" s="10"/>
      <c r="H262" s="10"/>
      <c r="I262" s="7"/>
      <c r="J262" s="7"/>
      <c r="K262" s="7"/>
      <c r="L262" s="7"/>
    </row>
    <row r="263" spans="1:12" ht="24.75" customHeight="1" thickTop="1">
      <c r="A263" s="5" t="s">
        <v>4</v>
      </c>
      <c r="B263" s="11"/>
      <c r="C263" s="945" t="s">
        <v>592</v>
      </c>
      <c r="D263" s="946"/>
      <c r="E263" s="945" t="s">
        <v>593</v>
      </c>
      <c r="F263" s="946"/>
      <c r="G263" s="945" t="s">
        <v>594</v>
      </c>
      <c r="H263" s="964"/>
      <c r="I263" s="564"/>
      <c r="J263" s="38"/>
      <c r="K263" s="38"/>
      <c r="L263" s="38"/>
    </row>
    <row r="264" spans="1:12" ht="15">
      <c r="A264" s="194" t="s">
        <v>19</v>
      </c>
      <c r="B264" s="313" t="s">
        <v>11</v>
      </c>
      <c r="C264" s="955">
        <f>CEILING(50*$Z$1,0.1)</f>
        <v>62.5</v>
      </c>
      <c r="D264" s="960"/>
      <c r="E264" s="955">
        <f>CEILING(60*$Z$1,0.1)</f>
        <v>75</v>
      </c>
      <c r="F264" s="960"/>
      <c r="G264" s="955">
        <f>CEILING(50*$Z$1,0.1)</f>
        <v>62.5</v>
      </c>
      <c r="H264" s="960"/>
      <c r="I264" s="46"/>
      <c r="J264" s="17"/>
      <c r="K264" s="17"/>
      <c r="L264" s="17"/>
    </row>
    <row r="265" spans="1:12" ht="15">
      <c r="A265" s="188" t="s">
        <v>18</v>
      </c>
      <c r="B265" s="314" t="s">
        <v>7</v>
      </c>
      <c r="C265" s="955">
        <f>CEILING((C264+25*$Z$1),0.1)</f>
        <v>93.80000000000001</v>
      </c>
      <c r="D265" s="956"/>
      <c r="E265" s="955">
        <f>CEILING((E264+25*$Z$1),0.1)</f>
        <v>106.30000000000001</v>
      </c>
      <c r="F265" s="956"/>
      <c r="G265" s="955">
        <f>CEILING((G264+25*$Z$1),0.1)</f>
        <v>93.80000000000001</v>
      </c>
      <c r="H265" s="956"/>
      <c r="I265" s="17"/>
      <c r="J265" s="17"/>
      <c r="K265" s="17"/>
      <c r="L265" s="17"/>
    </row>
    <row r="266" spans="1:12" ht="15" customHeight="1">
      <c r="A266" s="515" t="s">
        <v>898</v>
      </c>
      <c r="B266" s="313" t="s">
        <v>9</v>
      </c>
      <c r="C266" s="955">
        <f>CEILING((C264*0.85),0.1)</f>
        <v>53.2</v>
      </c>
      <c r="D266" s="956"/>
      <c r="E266" s="955">
        <f>CEILING((E264*0.85),0.1)</f>
        <v>63.800000000000004</v>
      </c>
      <c r="F266" s="956"/>
      <c r="G266" s="955">
        <f>CEILING((G264*0.85),0.1)</f>
        <v>53.2</v>
      </c>
      <c r="H266" s="956"/>
      <c r="I266" s="17"/>
      <c r="J266" s="17"/>
      <c r="K266" s="17"/>
      <c r="L266" s="17"/>
    </row>
    <row r="267" spans="1:12" ht="14.25">
      <c r="A267" s="571" t="s">
        <v>899</v>
      </c>
      <c r="B267" s="313" t="s">
        <v>680</v>
      </c>
      <c r="C267" s="955">
        <v>0</v>
      </c>
      <c r="D267" s="956"/>
      <c r="E267" s="955">
        <f>CEILING((E264*0.5),0.1)</f>
        <v>37.5</v>
      </c>
      <c r="F267" s="956"/>
      <c r="G267" s="955">
        <v>0</v>
      </c>
      <c r="H267" s="956"/>
      <c r="I267" s="17"/>
      <c r="J267" s="17"/>
      <c r="K267" s="17"/>
      <c r="L267" s="17"/>
    </row>
    <row r="268" spans="1:12" ht="15">
      <c r="A268" s="312"/>
      <c r="B268" s="313" t="s">
        <v>219</v>
      </c>
      <c r="C268" s="955">
        <f>CEILING(56*$Z$1,0.1)</f>
        <v>70</v>
      </c>
      <c r="D268" s="956"/>
      <c r="E268" s="955">
        <f>CEILING(66*$Z$1,0.1)</f>
        <v>82.5</v>
      </c>
      <c r="F268" s="956"/>
      <c r="G268" s="955">
        <f>CEILING(56*$Z$1,0.1)</f>
        <v>70</v>
      </c>
      <c r="H268" s="956"/>
      <c r="I268" s="17"/>
      <c r="J268" s="17"/>
      <c r="K268" s="17"/>
      <c r="L268" s="17"/>
    </row>
    <row r="269" spans="1:12" ht="15" thickBot="1">
      <c r="A269" s="193" t="s">
        <v>342</v>
      </c>
      <c r="B269" s="625" t="s">
        <v>220</v>
      </c>
      <c r="C269" s="983">
        <f>CEILING((C268+25*$Z$1),0.1)</f>
        <v>101.30000000000001</v>
      </c>
      <c r="D269" s="1075"/>
      <c r="E269" s="983">
        <f>CEILING((E268+25*$Z$1),0.1)</f>
        <v>113.80000000000001</v>
      </c>
      <c r="F269" s="1075"/>
      <c r="G269" s="983">
        <f>CEILING((G268+25*$Z$1),0.1)</f>
        <v>101.30000000000001</v>
      </c>
      <c r="H269" s="1075"/>
      <c r="I269" s="17"/>
      <c r="J269" s="17"/>
      <c r="K269" s="17"/>
      <c r="L269" s="17"/>
    </row>
    <row r="270" spans="1:12" ht="6" customHeight="1" hidden="1" thickTop="1">
      <c r="A270" s="316"/>
      <c r="B270" s="343"/>
      <c r="C270" s="791"/>
      <c r="D270" s="791"/>
      <c r="E270" s="791"/>
      <c r="F270" s="791"/>
      <c r="G270" s="791"/>
      <c r="H270" s="791"/>
      <c r="I270" s="17"/>
      <c r="J270" s="17"/>
      <c r="K270" s="17"/>
      <c r="L270" s="17"/>
    </row>
    <row r="271" spans="1:12" ht="21" customHeight="1" thickBot="1" thickTop="1">
      <c r="A271" s="40"/>
      <c r="B271" s="40"/>
      <c r="C271" s="41"/>
      <c r="D271" s="453"/>
      <c r="E271" s="41"/>
      <c r="F271" s="453"/>
      <c r="G271" s="41"/>
      <c r="H271" s="41"/>
      <c r="I271" s="17"/>
      <c r="J271" s="17"/>
      <c r="K271" s="17"/>
      <c r="L271" s="17"/>
    </row>
    <row r="272" spans="1:12" ht="24" customHeight="1" thickTop="1">
      <c r="A272" s="280" t="s">
        <v>4</v>
      </c>
      <c r="B272" s="281"/>
      <c r="C272" s="945" t="s">
        <v>592</v>
      </c>
      <c r="D272" s="946"/>
      <c r="E272" s="945" t="s">
        <v>593</v>
      </c>
      <c r="F272" s="946"/>
      <c r="G272" s="945" t="s">
        <v>594</v>
      </c>
      <c r="H272" s="964"/>
      <c r="I272" s="46"/>
      <c r="J272" s="17"/>
      <c r="K272" s="17"/>
      <c r="L272" s="17"/>
    </row>
    <row r="273" spans="1:12" ht="15">
      <c r="A273" s="269" t="s">
        <v>383</v>
      </c>
      <c r="B273" s="276" t="s">
        <v>203</v>
      </c>
      <c r="C273" s="951">
        <f>CEILING(115*$Z$1,0.1)</f>
        <v>143.8</v>
      </c>
      <c r="D273" s="954"/>
      <c r="E273" s="951">
        <f>CEILING(125*$Z$1,0.1)</f>
        <v>156.3</v>
      </c>
      <c r="F273" s="954"/>
      <c r="G273" s="951">
        <f>CEILING(115*$Z$1,0.1)</f>
        <v>143.8</v>
      </c>
      <c r="H273" s="954"/>
      <c r="I273" s="288"/>
      <c r="J273" s="12"/>
      <c r="K273" s="25"/>
      <c r="L273" s="25"/>
    </row>
    <row r="274" spans="1:12" ht="16.5" customHeight="1">
      <c r="A274" s="270" t="s">
        <v>6</v>
      </c>
      <c r="B274" s="277" t="s">
        <v>204</v>
      </c>
      <c r="C274" s="951">
        <f>CEILING(155*$Z$1,0.1)</f>
        <v>193.8</v>
      </c>
      <c r="D274" s="952"/>
      <c r="E274" s="951">
        <f>CEILING(165*$Z$1,0.1)</f>
        <v>206.3</v>
      </c>
      <c r="F274" s="952"/>
      <c r="G274" s="951">
        <f>CEILING(155*$Z$1,0.1)</f>
        <v>193.8</v>
      </c>
      <c r="H274" s="952"/>
      <c r="I274" s="6"/>
      <c r="J274" s="7"/>
      <c r="K274" s="1"/>
      <c r="L274" s="1"/>
    </row>
    <row r="275" spans="1:12" ht="14.25">
      <c r="A275" s="271"/>
      <c r="B275" s="277" t="s">
        <v>205</v>
      </c>
      <c r="C275" s="951">
        <f>CEILING(175*$Z$1,0.1)</f>
        <v>218.8</v>
      </c>
      <c r="D275" s="952"/>
      <c r="E275" s="951">
        <f>CEILING(185*$Z$1,0.1)</f>
        <v>231.3</v>
      </c>
      <c r="F275" s="952"/>
      <c r="G275" s="951">
        <f>CEILING(175*$Z$1,0.1)</f>
        <v>218.8</v>
      </c>
      <c r="H275" s="952"/>
      <c r="I275" s="6"/>
      <c r="J275" s="7"/>
      <c r="K275" s="1"/>
      <c r="L275" s="1"/>
    </row>
    <row r="276" spans="1:12" ht="14.25">
      <c r="A276" s="271"/>
      <c r="B276" s="277" t="s">
        <v>206</v>
      </c>
      <c r="C276" s="951">
        <f>CEILING(255*$Z$1,0.1)</f>
        <v>318.8</v>
      </c>
      <c r="D276" s="952"/>
      <c r="E276" s="951">
        <f>CEILING(265*$Z$1,0.1)</f>
        <v>331.3</v>
      </c>
      <c r="F276" s="952"/>
      <c r="G276" s="951">
        <f>CEILING(255*$Z$1,0.1)</f>
        <v>318.8</v>
      </c>
      <c r="H276" s="952"/>
      <c r="I276" s="6"/>
      <c r="J276" s="7"/>
      <c r="K276" s="1"/>
      <c r="L276" s="1"/>
    </row>
    <row r="277" spans="1:12" ht="14.25">
      <c r="A277" s="272"/>
      <c r="B277" s="277" t="s">
        <v>207</v>
      </c>
      <c r="C277" s="951">
        <f>CEILING(195*$Z$1,0.1)</f>
        <v>243.8</v>
      </c>
      <c r="D277" s="952"/>
      <c r="E277" s="951">
        <f>CEILING(205*$Z$1,0.1)</f>
        <v>256.3</v>
      </c>
      <c r="F277" s="952"/>
      <c r="G277" s="951">
        <f>CEILING(195*$Z$1,0.1)</f>
        <v>243.8</v>
      </c>
      <c r="H277" s="952"/>
      <c r="I277" s="7"/>
      <c r="J277" s="7"/>
      <c r="K277" s="1"/>
      <c r="L277" s="1"/>
    </row>
    <row r="278" spans="1:12" ht="15" thickBot="1">
      <c r="A278" s="278" t="s">
        <v>263</v>
      </c>
      <c r="B278" s="279" t="s">
        <v>208</v>
      </c>
      <c r="C278" s="967">
        <f>CEILING(295*$Z$1,0.1)</f>
        <v>368.8</v>
      </c>
      <c r="D278" s="973"/>
      <c r="E278" s="967">
        <f>CEILING(305*$Z$1,0.1)</f>
        <v>381.3</v>
      </c>
      <c r="F278" s="973"/>
      <c r="G278" s="967">
        <f>CEILING(295*$Z$1,0.1)</f>
        <v>368.8</v>
      </c>
      <c r="H278" s="973"/>
      <c r="I278" s="7"/>
      <c r="J278" s="7"/>
      <c r="K278" s="1"/>
      <c r="L278" s="1"/>
    </row>
    <row r="279" spans="1:12" ht="15" thickTop="1">
      <c r="A279" s="275" t="s">
        <v>210</v>
      </c>
      <c r="B279" s="147"/>
      <c r="C279" s="147"/>
      <c r="D279" s="147"/>
      <c r="E279" s="147"/>
      <c r="F279" s="147"/>
      <c r="G279" s="147"/>
      <c r="H279" s="147"/>
      <c r="I279" s="7"/>
      <c r="J279" s="7"/>
      <c r="K279" s="1"/>
      <c r="L279" s="1"/>
    </row>
    <row r="280" spans="1:12" ht="14.25">
      <c r="A280" s="274" t="s">
        <v>209</v>
      </c>
      <c r="B280" s="147"/>
      <c r="C280" s="147"/>
      <c r="D280" s="147"/>
      <c r="E280" s="147"/>
      <c r="F280" s="147"/>
      <c r="G280" s="147"/>
      <c r="H280" s="147"/>
      <c r="I280" s="7"/>
      <c r="J280" s="7"/>
      <c r="K280" s="1"/>
      <c r="L280" s="1"/>
    </row>
    <row r="281" spans="1:12" ht="15" thickBot="1">
      <c r="A281" s="482"/>
      <c r="B281" s="426"/>
      <c r="C281" s="426"/>
      <c r="D281" s="426"/>
      <c r="E281" s="426"/>
      <c r="F281" s="426"/>
      <c r="G281" s="426"/>
      <c r="H281" s="426"/>
      <c r="I281" s="7"/>
      <c r="J281" s="7"/>
      <c r="K281" s="1"/>
      <c r="L281" s="1"/>
    </row>
    <row r="282" spans="1:12" ht="24.75" customHeight="1" hidden="1" thickTop="1">
      <c r="A282" s="519" t="s">
        <v>4</v>
      </c>
      <c r="B282" s="520"/>
      <c r="C282" s="1073" t="s">
        <v>276</v>
      </c>
      <c r="D282" s="1074"/>
      <c r="E282" s="1073" t="s">
        <v>291</v>
      </c>
      <c r="F282" s="1074"/>
      <c r="G282" s="1073" t="s">
        <v>292</v>
      </c>
      <c r="H282" s="1074"/>
      <c r="I282" s="7"/>
      <c r="J282" s="7"/>
      <c r="K282" s="1"/>
      <c r="L282" s="1"/>
    </row>
    <row r="283" spans="1:12" ht="15" hidden="1">
      <c r="A283" s="523" t="s">
        <v>181</v>
      </c>
      <c r="B283" s="527" t="s">
        <v>169</v>
      </c>
      <c r="C283" s="1071">
        <v>70</v>
      </c>
      <c r="D283" s="1072"/>
      <c r="E283" s="1071">
        <v>88</v>
      </c>
      <c r="F283" s="1072"/>
      <c r="G283" s="1071">
        <v>70</v>
      </c>
      <c r="H283" s="1072"/>
      <c r="I283" s="7"/>
      <c r="J283" s="7"/>
      <c r="K283" s="1"/>
      <c r="L283" s="1"/>
    </row>
    <row r="284" spans="1:12" ht="15" hidden="1">
      <c r="A284" s="524" t="s">
        <v>6</v>
      </c>
      <c r="B284" s="527" t="s">
        <v>170</v>
      </c>
      <c r="C284" s="1110">
        <v>120</v>
      </c>
      <c r="D284" s="1111"/>
      <c r="E284" s="1110">
        <v>138</v>
      </c>
      <c r="F284" s="1111"/>
      <c r="G284" s="1110">
        <v>120</v>
      </c>
      <c r="H284" s="1111"/>
      <c r="I284" s="7"/>
      <c r="J284" s="7"/>
      <c r="K284" s="1"/>
      <c r="L284" s="1"/>
    </row>
    <row r="285" spans="1:12" ht="14.25" hidden="1">
      <c r="A285" s="525"/>
      <c r="B285" s="528" t="s">
        <v>9</v>
      </c>
      <c r="C285" s="1110">
        <v>60</v>
      </c>
      <c r="D285" s="1111"/>
      <c r="E285" s="1110">
        <v>75</v>
      </c>
      <c r="F285" s="1111"/>
      <c r="G285" s="1110">
        <v>60</v>
      </c>
      <c r="H285" s="1111"/>
      <c r="I285" s="7"/>
      <c r="J285" s="7"/>
      <c r="K285" s="1"/>
      <c r="L285" s="1"/>
    </row>
    <row r="286" spans="1:12" ht="14.25" hidden="1">
      <c r="A286" s="522" t="s">
        <v>442</v>
      </c>
      <c r="B286" s="521" t="s">
        <v>182</v>
      </c>
      <c r="C286" s="1110">
        <v>35</v>
      </c>
      <c r="D286" s="1111"/>
      <c r="E286" s="1110">
        <v>44</v>
      </c>
      <c r="F286" s="1111"/>
      <c r="G286" s="1110">
        <v>35</v>
      </c>
      <c r="H286" s="1111"/>
      <c r="I286" s="7"/>
      <c r="J286" s="7"/>
      <c r="K286" s="1"/>
      <c r="L286" s="1"/>
    </row>
    <row r="287" spans="1:12" ht="14.25" hidden="1">
      <c r="A287" s="198" t="s">
        <v>443</v>
      </c>
      <c r="B287" s="529" t="s">
        <v>234</v>
      </c>
      <c r="C287" s="1110">
        <v>127</v>
      </c>
      <c r="D287" s="1111"/>
      <c r="E287" s="1110">
        <v>144</v>
      </c>
      <c r="F287" s="1111"/>
      <c r="G287" s="1110">
        <v>127</v>
      </c>
      <c r="H287" s="1111"/>
      <c r="I287" s="7"/>
      <c r="J287" s="7"/>
      <c r="K287" s="1"/>
      <c r="L287" s="1"/>
    </row>
    <row r="288" spans="1:12" ht="14.25" hidden="1">
      <c r="A288" s="518" t="s">
        <v>444</v>
      </c>
      <c r="B288" s="529" t="s">
        <v>235</v>
      </c>
      <c r="C288" s="1110">
        <v>177</v>
      </c>
      <c r="D288" s="1111"/>
      <c r="E288" s="1110">
        <v>194</v>
      </c>
      <c r="F288" s="1111"/>
      <c r="G288" s="1110">
        <v>177</v>
      </c>
      <c r="H288" s="1111"/>
      <c r="I288" s="7"/>
      <c r="J288" s="7"/>
      <c r="K288" s="1"/>
      <c r="L288" s="1"/>
    </row>
    <row r="289" spans="1:12" ht="14.25" hidden="1">
      <c r="A289" s="525"/>
      <c r="B289" s="529" t="s">
        <v>236</v>
      </c>
      <c r="C289" s="1110">
        <v>145</v>
      </c>
      <c r="D289" s="1111"/>
      <c r="E289" s="1110">
        <v>163</v>
      </c>
      <c r="F289" s="1111"/>
      <c r="G289" s="1110">
        <v>145</v>
      </c>
      <c r="H289" s="1111"/>
      <c r="I289" s="7"/>
      <c r="J289" s="7"/>
      <c r="K289" s="1"/>
      <c r="L289" s="1"/>
    </row>
    <row r="290" spans="1:12" ht="15" hidden="1" thickBot="1">
      <c r="A290" s="526" t="s">
        <v>341</v>
      </c>
      <c r="B290" s="530" t="s">
        <v>237</v>
      </c>
      <c r="C290" s="1143">
        <v>195</v>
      </c>
      <c r="D290" s="1144"/>
      <c r="E290" s="1143">
        <v>213</v>
      </c>
      <c r="F290" s="1144"/>
      <c r="G290" s="1143">
        <v>195</v>
      </c>
      <c r="H290" s="1144"/>
      <c r="I290" s="7"/>
      <c r="J290" s="7"/>
      <c r="K290" s="1"/>
      <c r="L290" s="1"/>
    </row>
    <row r="291" spans="1:12" ht="15" hidden="1" thickTop="1">
      <c r="A291" s="531" t="s">
        <v>238</v>
      </c>
      <c r="B291" s="531"/>
      <c r="C291" s="531"/>
      <c r="D291" s="531"/>
      <c r="E291" s="531"/>
      <c r="F291" s="531"/>
      <c r="G291" s="531"/>
      <c r="H291" s="531"/>
      <c r="I291" s="7"/>
      <c r="J291" s="7"/>
      <c r="K291" s="1"/>
      <c r="L291" s="1"/>
    </row>
    <row r="292" spans="1:12" ht="17.25" customHeight="1" hidden="1" thickBot="1">
      <c r="A292" s="89"/>
      <c r="B292" s="89"/>
      <c r="C292" s="89"/>
      <c r="D292" s="89"/>
      <c r="E292" s="89"/>
      <c r="F292" s="89"/>
      <c r="G292" s="89"/>
      <c r="H292" s="89"/>
      <c r="I292" s="7"/>
      <c r="J292" s="7"/>
      <c r="K292" s="1"/>
      <c r="L292" s="1"/>
    </row>
    <row r="293" spans="1:12" ht="26.25" customHeight="1" thickTop="1">
      <c r="A293" s="5" t="s">
        <v>4</v>
      </c>
      <c r="B293" s="11"/>
      <c r="C293" s="945" t="s">
        <v>592</v>
      </c>
      <c r="D293" s="946"/>
      <c r="E293" s="945" t="s">
        <v>593</v>
      </c>
      <c r="F293" s="946"/>
      <c r="G293" s="945" t="s">
        <v>594</v>
      </c>
      <c r="H293" s="964"/>
      <c r="I293" s="6"/>
      <c r="J293" s="7"/>
      <c r="K293" s="1"/>
      <c r="L293" s="1"/>
    </row>
    <row r="294" spans="1:12" ht="15">
      <c r="A294" s="196" t="s">
        <v>181</v>
      </c>
      <c r="B294" s="613" t="s">
        <v>169</v>
      </c>
      <c r="C294" s="951">
        <f>CEILING(77*$Z$1,0.1)</f>
        <v>96.30000000000001</v>
      </c>
      <c r="D294" s="954"/>
      <c r="E294" s="951">
        <f>CEILING(86*$Z$1,0.1)</f>
        <v>107.5</v>
      </c>
      <c r="F294" s="954"/>
      <c r="G294" s="951">
        <f>CEILING(77*$Z$1,0.1)</f>
        <v>96.30000000000001</v>
      </c>
      <c r="H294" s="954"/>
      <c r="I294" s="6"/>
      <c r="J294" s="7"/>
      <c r="K294" s="1"/>
      <c r="L294" s="1"/>
    </row>
    <row r="295" spans="1:12" ht="15">
      <c r="A295" s="197"/>
      <c r="B295" s="613" t="s">
        <v>170</v>
      </c>
      <c r="C295" s="951">
        <f>CEILING((C294+40*$Z$1),0.1)</f>
        <v>146.3</v>
      </c>
      <c r="D295" s="952"/>
      <c r="E295" s="951">
        <f>CEILING((E294+40*$Z$1),0.1)</f>
        <v>157.5</v>
      </c>
      <c r="F295" s="952"/>
      <c r="G295" s="951">
        <f>CEILING((G294+40*$Z$1),0.1)</f>
        <v>146.3</v>
      </c>
      <c r="H295" s="952"/>
      <c r="I295" s="7"/>
      <c r="J295" s="7"/>
      <c r="K295" s="1"/>
      <c r="L295" s="1"/>
    </row>
    <row r="296" spans="1:12" ht="15">
      <c r="A296" s="197" t="s">
        <v>6</v>
      </c>
      <c r="B296" s="620" t="s">
        <v>9</v>
      </c>
      <c r="C296" s="951">
        <f>CEILING((C294*0.85),0.1)</f>
        <v>81.9</v>
      </c>
      <c r="D296" s="952"/>
      <c r="E296" s="951">
        <f>CEILING((E294*0.85),0.1)</f>
        <v>91.4</v>
      </c>
      <c r="F296" s="952"/>
      <c r="G296" s="951">
        <f>CEILING((G294*0.85),0.1)</f>
        <v>81.9</v>
      </c>
      <c r="H296" s="952"/>
      <c r="I296" s="7"/>
      <c r="J296" s="7"/>
      <c r="K296" s="1"/>
      <c r="L296" s="1"/>
    </row>
    <row r="297" spans="1:12" ht="14.25">
      <c r="A297" s="491"/>
      <c r="B297" s="568" t="s">
        <v>182</v>
      </c>
      <c r="C297" s="951">
        <f>CEILING((C294*0.5),0.1)</f>
        <v>48.2</v>
      </c>
      <c r="D297" s="952"/>
      <c r="E297" s="951">
        <f>CEILING((E294*0.5),0.1)</f>
        <v>53.800000000000004</v>
      </c>
      <c r="F297" s="952"/>
      <c r="G297" s="951">
        <f>CEILING((G294*0.5),0.1)</f>
        <v>48.2</v>
      </c>
      <c r="H297" s="952"/>
      <c r="I297" s="7"/>
      <c r="J297" s="7"/>
      <c r="K297" s="1"/>
      <c r="L297" s="1"/>
    </row>
    <row r="298" spans="1:12" ht="14.25">
      <c r="A298" s="198"/>
      <c r="B298" s="549" t="s">
        <v>332</v>
      </c>
      <c r="C298" s="947">
        <f>CEILING(122*$Z$1,0.1)</f>
        <v>152.5</v>
      </c>
      <c r="D298" s="957"/>
      <c r="E298" s="947">
        <f>CEILING(131*$Z$1,0.1)</f>
        <v>163.8</v>
      </c>
      <c r="F298" s="957"/>
      <c r="G298" s="947">
        <f>CEILING(122*$Z$1,0.1)</f>
        <v>152.5</v>
      </c>
      <c r="H298" s="957"/>
      <c r="I298" s="7"/>
      <c r="J298" s="7"/>
      <c r="K298" s="1"/>
      <c r="L298" s="1"/>
    </row>
    <row r="299" spans="1:12" ht="14.25">
      <c r="A299" s="198"/>
      <c r="B299" s="549" t="s">
        <v>333</v>
      </c>
      <c r="C299" s="947">
        <f>CEILING((C298+40*$Z$1),0.1)</f>
        <v>202.5</v>
      </c>
      <c r="D299" s="957"/>
      <c r="E299" s="947">
        <f>CEILING((E298+40*$Z$1),0.1)</f>
        <v>213.8</v>
      </c>
      <c r="F299" s="957"/>
      <c r="G299" s="947">
        <f>CEILING((G298+40*$Z$1),0.1)</f>
        <v>202.5</v>
      </c>
      <c r="H299" s="957"/>
      <c r="I299" s="7"/>
      <c r="J299" s="7"/>
      <c r="K299" s="1"/>
      <c r="L299" s="1"/>
    </row>
    <row r="300" spans="1:12" ht="14.25">
      <c r="A300" s="198"/>
      <c r="B300" s="549" t="s">
        <v>512</v>
      </c>
      <c r="C300" s="947">
        <f>CEILING(152*$Z$1,0.1)</f>
        <v>190</v>
      </c>
      <c r="D300" s="957"/>
      <c r="E300" s="947">
        <f>CEILING(161*$Z$1,0.1)</f>
        <v>201.3</v>
      </c>
      <c r="F300" s="957"/>
      <c r="G300" s="947">
        <f>CEILING(152*$Z$1,0.1)</f>
        <v>190</v>
      </c>
      <c r="H300" s="957"/>
      <c r="I300" s="7"/>
      <c r="J300" s="7"/>
      <c r="K300" s="1"/>
      <c r="L300" s="1"/>
    </row>
    <row r="301" spans="1:12" ht="15" thickBot="1">
      <c r="A301" s="235" t="s">
        <v>869</v>
      </c>
      <c r="B301" s="552" t="s">
        <v>513</v>
      </c>
      <c r="C301" s="947">
        <f>CEILING((C300+40*$Z$1),0.1)</f>
        <v>240</v>
      </c>
      <c r="D301" s="957"/>
      <c r="E301" s="947">
        <f>CEILING((E300+40*$Z$1),0.1)</f>
        <v>251.3</v>
      </c>
      <c r="F301" s="957"/>
      <c r="G301" s="947">
        <f>CEILING((G300+40*$Z$1),0.1)</f>
        <v>240</v>
      </c>
      <c r="H301" s="957"/>
      <c r="I301" s="7"/>
      <c r="J301" s="7"/>
      <c r="K301" s="1"/>
      <c r="L301" s="1"/>
    </row>
    <row r="302" spans="1:12" ht="15" thickTop="1">
      <c r="A302" s="474" t="s">
        <v>238</v>
      </c>
      <c r="B302" s="425"/>
      <c r="C302" s="425"/>
      <c r="D302" s="425"/>
      <c r="E302" s="425"/>
      <c r="F302" s="425"/>
      <c r="G302" s="425"/>
      <c r="H302" s="425"/>
      <c r="I302" s="7"/>
      <c r="J302" s="7"/>
      <c r="K302" s="1"/>
      <c r="L302" s="1"/>
    </row>
    <row r="303" spans="1:12" ht="14.25">
      <c r="A303" s="316" t="s">
        <v>632</v>
      </c>
      <c r="B303" s="147"/>
      <c r="C303" s="147"/>
      <c r="D303" s="147"/>
      <c r="E303" s="147"/>
      <c r="F303" s="147"/>
      <c r="G303" s="147"/>
      <c r="H303" s="147"/>
      <c r="I303" s="7"/>
      <c r="J303" s="7"/>
      <c r="K303" s="1"/>
      <c r="L303" s="1"/>
    </row>
    <row r="304" spans="1:12" ht="18.75" customHeight="1" thickBot="1">
      <c r="A304" s="426"/>
      <c r="B304" s="426"/>
      <c r="C304" s="426"/>
      <c r="D304" s="426"/>
      <c r="E304" s="426"/>
      <c r="F304" s="426"/>
      <c r="G304" s="426"/>
      <c r="H304" s="426"/>
      <c r="I304" s="7"/>
      <c r="J304" s="7"/>
      <c r="K304" s="1"/>
      <c r="L304" s="1"/>
    </row>
    <row r="305" spans="1:12" ht="23.25" customHeight="1" thickTop="1">
      <c r="A305" s="5" t="s">
        <v>4</v>
      </c>
      <c r="B305" s="11"/>
      <c r="C305" s="945" t="s">
        <v>592</v>
      </c>
      <c r="D305" s="946"/>
      <c r="E305" s="945" t="s">
        <v>593</v>
      </c>
      <c r="F305" s="946"/>
      <c r="G305" s="945" t="s">
        <v>594</v>
      </c>
      <c r="H305" s="964"/>
      <c r="I305" s="6"/>
      <c r="J305" s="7"/>
      <c r="K305" s="1"/>
      <c r="L305" s="1"/>
    </row>
    <row r="306" spans="1:12" ht="15.75" customHeight="1">
      <c r="A306" s="196" t="s">
        <v>331</v>
      </c>
      <c r="B306" s="612" t="s">
        <v>169</v>
      </c>
      <c r="C306" s="955">
        <f>CEILING(62*$Z$1,0.1)</f>
        <v>77.5</v>
      </c>
      <c r="D306" s="960"/>
      <c r="E306" s="955">
        <f>CEILING(70*$Z$1,0.1)</f>
        <v>87.5</v>
      </c>
      <c r="F306" s="960"/>
      <c r="G306" s="955">
        <f>CEILING(62*$Z$1,0.1)</f>
        <v>77.5</v>
      </c>
      <c r="H306" s="960"/>
      <c r="I306" s="6"/>
      <c r="J306" s="7"/>
      <c r="K306" s="1"/>
      <c r="L306" s="1"/>
    </row>
    <row r="307" spans="1:12" ht="15">
      <c r="A307" s="197" t="s">
        <v>6</v>
      </c>
      <c r="B307" s="613" t="s">
        <v>170</v>
      </c>
      <c r="C307" s="955">
        <f>CEILING((C306+40*$Z$1),0.1)</f>
        <v>127.5</v>
      </c>
      <c r="D307" s="956"/>
      <c r="E307" s="955">
        <f>CEILING((E306+40*$Z$1),0.1)</f>
        <v>137.5</v>
      </c>
      <c r="F307" s="956"/>
      <c r="G307" s="955">
        <f>CEILING((G306+40*$Z$1),0.1)</f>
        <v>127.5</v>
      </c>
      <c r="H307" s="956"/>
      <c r="I307" s="6"/>
      <c r="J307" s="7"/>
      <c r="K307" s="1"/>
      <c r="L307" s="1"/>
    </row>
    <row r="308" spans="1:12" ht="14.25">
      <c r="A308" s="198"/>
      <c r="B308" s="620" t="s">
        <v>9</v>
      </c>
      <c r="C308" s="955">
        <f>CEILING((C306*0.85),0.1)</f>
        <v>65.9</v>
      </c>
      <c r="D308" s="956"/>
      <c r="E308" s="955">
        <f>CEILING((E306*0.85),0.1)</f>
        <v>74.4</v>
      </c>
      <c r="F308" s="956"/>
      <c r="G308" s="955">
        <f>CEILING((G306*0.85),0.1)</f>
        <v>65.9</v>
      </c>
      <c r="H308" s="956"/>
      <c r="I308" s="6"/>
      <c r="J308" s="7"/>
      <c r="K308" s="1"/>
      <c r="L308" s="1"/>
    </row>
    <row r="309" spans="1:12" ht="15.75" customHeight="1">
      <c r="A309" s="348"/>
      <c r="B309" s="568" t="s">
        <v>182</v>
      </c>
      <c r="C309" s="955">
        <f>CEILING((C306*0.5),0.1)</f>
        <v>38.800000000000004</v>
      </c>
      <c r="D309" s="956"/>
      <c r="E309" s="955">
        <f>CEILING((E306*0.5),0.1)</f>
        <v>43.800000000000004</v>
      </c>
      <c r="F309" s="956"/>
      <c r="G309" s="955">
        <f>CEILING((G306*0.5),0.1)</f>
        <v>38.800000000000004</v>
      </c>
      <c r="H309" s="956"/>
      <c r="I309" s="6"/>
      <c r="J309" s="7"/>
      <c r="K309" s="1"/>
      <c r="L309" s="1"/>
    </row>
    <row r="310" spans="1:12" ht="14.25">
      <c r="A310" s="515" t="s">
        <v>895</v>
      </c>
      <c r="B310" s="549" t="s">
        <v>332</v>
      </c>
      <c r="C310" s="971">
        <f>CEILING(78*$Z$1,0.1)</f>
        <v>97.5</v>
      </c>
      <c r="D310" s="972"/>
      <c r="E310" s="971">
        <f>CEILING(86*$Z$1,0.1)</f>
        <v>107.5</v>
      </c>
      <c r="F310" s="972"/>
      <c r="G310" s="971">
        <f>CEILING(78*$Z$1,0.1)</f>
        <v>97.5</v>
      </c>
      <c r="H310" s="972"/>
      <c r="I310" s="6"/>
      <c r="J310" s="7"/>
      <c r="K310" s="1"/>
      <c r="L310" s="1"/>
    </row>
    <row r="311" spans="1:12" ht="14.25">
      <c r="A311" s="571" t="s">
        <v>896</v>
      </c>
      <c r="B311" s="549" t="s">
        <v>333</v>
      </c>
      <c r="C311" s="971">
        <f>CEILING((C310+40*$Z$1),0.1)</f>
        <v>147.5</v>
      </c>
      <c r="D311" s="972"/>
      <c r="E311" s="971">
        <f>CEILING((E310+40*$Z$1),0.1)</f>
        <v>157.5</v>
      </c>
      <c r="F311" s="972"/>
      <c r="G311" s="971">
        <f>CEILING((G310+40*$Z$1),0.1)</f>
        <v>147.5</v>
      </c>
      <c r="H311" s="972"/>
      <c r="I311" s="6"/>
      <c r="J311" s="7"/>
      <c r="K311" s="1"/>
      <c r="L311" s="1"/>
    </row>
    <row r="312" spans="1:12" ht="14.25">
      <c r="A312" s="572"/>
      <c r="B312" s="549" t="s">
        <v>334</v>
      </c>
      <c r="C312" s="971">
        <f>CEILING(89*$Z$1,0.1)</f>
        <v>111.30000000000001</v>
      </c>
      <c r="D312" s="972"/>
      <c r="E312" s="971">
        <f>CEILING(97*$Z$1,0.1)</f>
        <v>121.30000000000001</v>
      </c>
      <c r="F312" s="972"/>
      <c r="G312" s="971">
        <f>CEILING(89*$Z$1,0.1)</f>
        <v>111.30000000000001</v>
      </c>
      <c r="H312" s="972"/>
      <c r="I312" s="6"/>
      <c r="J312" s="7"/>
      <c r="K312" s="1"/>
      <c r="L312" s="1"/>
    </row>
    <row r="313" spans="1:12" ht="14.25">
      <c r="A313" s="619"/>
      <c r="B313" s="549" t="s">
        <v>335</v>
      </c>
      <c r="C313" s="955">
        <f>CEILING((C312+40*$Z$1),0.1)</f>
        <v>161.3</v>
      </c>
      <c r="D313" s="956"/>
      <c r="E313" s="955">
        <f>CEILING((E312+40*$Z$1),0.1)</f>
        <v>171.3</v>
      </c>
      <c r="F313" s="956"/>
      <c r="G313" s="955">
        <f>CEILING((G312+40*$Z$1),0.1)</f>
        <v>161.3</v>
      </c>
      <c r="H313" s="956"/>
      <c r="I313" s="6"/>
      <c r="J313" s="7"/>
      <c r="K313" s="1"/>
      <c r="L313" s="1"/>
    </row>
    <row r="314" spans="1:12" ht="14.25">
      <c r="A314" s="423"/>
      <c r="B314" s="549" t="s">
        <v>336</v>
      </c>
      <c r="C314" s="971">
        <f>CEILING(94*$Z$1,0.1)</f>
        <v>117.5</v>
      </c>
      <c r="D314" s="972"/>
      <c r="E314" s="971">
        <f>CEILING(102*$Z$1,0.1)</f>
        <v>127.5</v>
      </c>
      <c r="F314" s="972"/>
      <c r="G314" s="971">
        <f>CEILING(94*$Z$1,0.1)</f>
        <v>117.5</v>
      </c>
      <c r="H314" s="972"/>
      <c r="I314" s="6"/>
      <c r="J314" s="7"/>
      <c r="K314" s="1"/>
      <c r="L314" s="1"/>
    </row>
    <row r="315" spans="1:12" ht="14.25">
      <c r="A315" s="423"/>
      <c r="B315" s="549" t="s">
        <v>337</v>
      </c>
      <c r="C315" s="955">
        <f>CEILING((C314+40*$Z$1),0.1)</f>
        <v>167.5</v>
      </c>
      <c r="D315" s="956"/>
      <c r="E315" s="955">
        <f>CEILING((E314+40*$Z$1),0.1)</f>
        <v>177.5</v>
      </c>
      <c r="F315" s="956"/>
      <c r="G315" s="955">
        <f>CEILING((G314+40*$Z$1),0.1)</f>
        <v>167.5</v>
      </c>
      <c r="H315" s="956"/>
      <c r="I315" s="6"/>
      <c r="J315" s="7"/>
      <c r="K315" s="1"/>
      <c r="L315" s="1"/>
    </row>
    <row r="316" spans="1:12" ht="14.25">
      <c r="A316" s="423"/>
      <c r="B316" s="549" t="s">
        <v>338</v>
      </c>
      <c r="C316" s="971">
        <f>CEILING(123*$Z$1,0.1)</f>
        <v>153.8</v>
      </c>
      <c r="D316" s="972"/>
      <c r="E316" s="971">
        <f>CEILING(131*$Z$1,0.1)</f>
        <v>163.8</v>
      </c>
      <c r="F316" s="972"/>
      <c r="G316" s="971">
        <f>CEILING(123*$Z$1,0.1)</f>
        <v>153.8</v>
      </c>
      <c r="H316" s="972"/>
      <c r="I316" s="6"/>
      <c r="J316" s="7"/>
      <c r="K316" s="1"/>
      <c r="L316" s="1"/>
    </row>
    <row r="317" spans="1:12" ht="15" thickBot="1">
      <c r="A317" s="235" t="s">
        <v>869</v>
      </c>
      <c r="B317" s="552" t="s">
        <v>339</v>
      </c>
      <c r="C317" s="978">
        <f>CEILING((C316+40*$Z$1),0.1)</f>
        <v>203.8</v>
      </c>
      <c r="D317" s="1070"/>
      <c r="E317" s="978">
        <f>CEILING((E316+40*$Z$1),0.1)</f>
        <v>213.8</v>
      </c>
      <c r="F317" s="1070"/>
      <c r="G317" s="978">
        <f>CEILING((G316+40*$Z$1),0.1)</f>
        <v>203.8</v>
      </c>
      <c r="H317" s="1070"/>
      <c r="I317" s="6"/>
      <c r="J317" s="7"/>
      <c r="K317" s="1"/>
      <c r="L317" s="1"/>
    </row>
    <row r="318" spans="1:12" ht="15" thickTop="1">
      <c r="A318" s="274" t="s">
        <v>340</v>
      </c>
      <c r="B318" s="316"/>
      <c r="C318" s="316"/>
      <c r="D318" s="316"/>
      <c r="E318" s="149"/>
      <c r="F318" s="149"/>
      <c r="G318" s="149"/>
      <c r="H318" s="149"/>
      <c r="I318" s="7"/>
      <c r="J318" s="7"/>
      <c r="K318" s="1"/>
      <c r="L318" s="1"/>
    </row>
    <row r="319" spans="1:25" ht="18" customHeight="1" thickBot="1">
      <c r="A319" s="426"/>
      <c r="B319" s="490"/>
      <c r="C319" s="490"/>
      <c r="D319" s="490"/>
      <c r="E319" s="489"/>
      <c r="F319" s="489"/>
      <c r="G319" s="489"/>
      <c r="H319" s="489"/>
      <c r="I319" s="7"/>
      <c r="J319" s="7"/>
      <c r="K319" s="1"/>
      <c r="L319" s="1"/>
      <c r="M319" s="950"/>
      <c r="N319" s="950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</row>
    <row r="320" spans="1:25" ht="21.75" customHeight="1" thickTop="1">
      <c r="A320" s="5" t="s">
        <v>4</v>
      </c>
      <c r="B320" s="11"/>
      <c r="C320" s="945" t="s">
        <v>592</v>
      </c>
      <c r="D320" s="946"/>
      <c r="E320" s="945" t="s">
        <v>593</v>
      </c>
      <c r="F320" s="946"/>
      <c r="G320" s="945" t="s">
        <v>594</v>
      </c>
      <c r="H320" s="964"/>
      <c r="I320" s="6"/>
      <c r="J320" s="7"/>
      <c r="K320" s="1"/>
      <c r="L320" s="1"/>
      <c r="M320" s="950"/>
      <c r="N320" s="950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</row>
    <row r="321" spans="1:25" ht="16.5" customHeight="1">
      <c r="A321" s="196" t="s">
        <v>388</v>
      </c>
      <c r="B321" s="613" t="s">
        <v>11</v>
      </c>
      <c r="C321" s="955">
        <f>CEILING(56*$Z$1,0.1)</f>
        <v>70</v>
      </c>
      <c r="D321" s="960"/>
      <c r="E321" s="955">
        <f>CEILING(60*$Z$1,0.1)</f>
        <v>75</v>
      </c>
      <c r="F321" s="960"/>
      <c r="G321" s="955">
        <f>CEILING(56*$Z$1,0.1)</f>
        <v>70</v>
      </c>
      <c r="H321" s="960"/>
      <c r="I321" s="6"/>
      <c r="J321" s="7"/>
      <c r="K321" s="1"/>
      <c r="L321" s="1"/>
      <c r="M321" s="149"/>
      <c r="N321" s="149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</row>
    <row r="322" spans="1:25" ht="15.75" customHeight="1">
      <c r="A322" s="197" t="s">
        <v>6</v>
      </c>
      <c r="B322" s="613" t="s">
        <v>7</v>
      </c>
      <c r="C322" s="955">
        <f>CEILING((C321+25*$Z$1),0.1)</f>
        <v>101.30000000000001</v>
      </c>
      <c r="D322" s="956"/>
      <c r="E322" s="955">
        <f>CEILING((E321+25*$Z$1),0.1)</f>
        <v>106.30000000000001</v>
      </c>
      <c r="F322" s="956"/>
      <c r="G322" s="955">
        <f>CEILING((G321+25*$Z$1),0.1)</f>
        <v>101.30000000000001</v>
      </c>
      <c r="H322" s="956"/>
      <c r="I322" s="7"/>
      <c r="J322" s="7"/>
      <c r="K322" s="1"/>
      <c r="L322" s="1"/>
      <c r="M322" s="149"/>
      <c r="N322" s="149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</row>
    <row r="323" spans="1:25" ht="17.25" customHeight="1">
      <c r="A323" s="515"/>
      <c r="B323" s="620" t="s">
        <v>9</v>
      </c>
      <c r="C323" s="955">
        <f>CEILING(48*$Z$1,0.1)</f>
        <v>60</v>
      </c>
      <c r="D323" s="956"/>
      <c r="E323" s="955">
        <f>CEILING(50*$Z$1,0.1)</f>
        <v>62.5</v>
      </c>
      <c r="F323" s="956"/>
      <c r="G323" s="955">
        <f>CEILING(48*$Z$1,0.1)</f>
        <v>60</v>
      </c>
      <c r="H323" s="956"/>
      <c r="I323" s="7"/>
      <c r="J323" s="7"/>
      <c r="K323" s="1"/>
      <c r="L323" s="1"/>
      <c r="M323" s="149"/>
      <c r="N323" s="149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</row>
    <row r="324" spans="1:12" ht="16.5" customHeight="1">
      <c r="A324" s="515" t="s">
        <v>911</v>
      </c>
      <c r="B324" s="613" t="s">
        <v>101</v>
      </c>
      <c r="C324" s="1110">
        <v>0</v>
      </c>
      <c r="D324" s="1111"/>
      <c r="E324" s="1110">
        <v>0</v>
      </c>
      <c r="F324" s="1111"/>
      <c r="G324" s="1110">
        <v>0</v>
      </c>
      <c r="H324" s="1111"/>
      <c r="I324" s="7"/>
      <c r="J324" s="7"/>
      <c r="K324" s="1"/>
      <c r="L324" s="1"/>
    </row>
    <row r="325" spans="1:12" ht="17.25" customHeight="1">
      <c r="A325" s="452"/>
      <c r="B325" s="632" t="s">
        <v>503</v>
      </c>
      <c r="C325" s="971">
        <f>CEILING(70*$Z$1,0.1)</f>
        <v>87.5</v>
      </c>
      <c r="D325" s="972"/>
      <c r="E325" s="971">
        <f>CEILING(80*$Z$1,0.1)</f>
        <v>100</v>
      </c>
      <c r="F325" s="972"/>
      <c r="G325" s="971">
        <f>CEILING(70*$Z$1,0.1)</f>
        <v>87.5</v>
      </c>
      <c r="H325" s="972"/>
      <c r="I325" s="7"/>
      <c r="J325" s="7"/>
      <c r="K325" s="1"/>
      <c r="L325" s="1"/>
    </row>
    <row r="326" spans="1:12" ht="16.5" customHeight="1">
      <c r="A326" s="198"/>
      <c r="B326" s="632" t="s">
        <v>504</v>
      </c>
      <c r="C326" s="955">
        <f>CEILING((C325+29*$Z$1),0.1)</f>
        <v>123.80000000000001</v>
      </c>
      <c r="D326" s="956"/>
      <c r="E326" s="955">
        <f>CEILING((E325+29*$Z$1),0.1)</f>
        <v>136.3</v>
      </c>
      <c r="F326" s="956"/>
      <c r="G326" s="955">
        <f>CEILING((G325+29*$Z$1),0.1)</f>
        <v>123.80000000000001</v>
      </c>
      <c r="H326" s="956"/>
      <c r="I326" s="7"/>
      <c r="J326" s="7"/>
      <c r="K326" s="1"/>
      <c r="L326" s="1"/>
    </row>
    <row r="327" spans="1:12" ht="17.25" customHeight="1">
      <c r="A327" s="198"/>
      <c r="B327" s="527" t="s">
        <v>389</v>
      </c>
      <c r="C327" s="947">
        <f>CEILING(110*$Z$1,0.1)</f>
        <v>137.5</v>
      </c>
      <c r="D327" s="957"/>
      <c r="E327" s="947">
        <f>CEILING(112*$Z$1,0.1)</f>
        <v>140</v>
      </c>
      <c r="F327" s="957"/>
      <c r="G327" s="947">
        <f>CEILING(110*$Z$1,0.1)</f>
        <v>137.5</v>
      </c>
      <c r="H327" s="957"/>
      <c r="I327" s="7"/>
      <c r="J327" s="7"/>
      <c r="K327" s="1"/>
      <c r="L327" s="1"/>
    </row>
    <row r="328" spans="1:12" ht="16.5" customHeight="1" thickBot="1">
      <c r="A328" s="354" t="s">
        <v>263</v>
      </c>
      <c r="B328" s="615" t="s">
        <v>390</v>
      </c>
      <c r="C328" s="967">
        <f>CEILING((C327+40*$Z$1),0.1)</f>
        <v>187.5</v>
      </c>
      <c r="D328" s="973"/>
      <c r="E328" s="967">
        <f>CEILING((E327+40*$Z$1),0.1)</f>
        <v>190</v>
      </c>
      <c r="F328" s="973"/>
      <c r="G328" s="967">
        <f>CEILING((G327+40*$Z$1),0.1)</f>
        <v>187.5</v>
      </c>
      <c r="H328" s="973"/>
      <c r="I328" s="7"/>
      <c r="J328" s="7"/>
      <c r="K328" s="1"/>
      <c r="L328" s="1"/>
    </row>
    <row r="329" spans="1:12" ht="15" thickTop="1">
      <c r="A329" s="616" t="s">
        <v>505</v>
      </c>
      <c r="B329" s="9"/>
      <c r="C329" s="9"/>
      <c r="D329" s="9"/>
      <c r="E329" s="9"/>
      <c r="F329" s="9"/>
      <c r="G329" s="9"/>
      <c r="H329" s="9"/>
      <c r="I329" s="7"/>
      <c r="J329" s="7"/>
      <c r="K329" s="1"/>
      <c r="L329" s="1"/>
    </row>
    <row r="330" spans="1:12" ht="21.75" customHeight="1" thickBot="1">
      <c r="A330" s="89"/>
      <c r="B330" s="89"/>
      <c r="C330" s="89"/>
      <c r="D330" s="89"/>
      <c r="E330" s="89"/>
      <c r="F330" s="89"/>
      <c r="G330" s="89"/>
      <c r="H330" s="89"/>
      <c r="I330" s="7"/>
      <c r="J330" s="7"/>
      <c r="K330" s="1"/>
      <c r="L330" s="1"/>
    </row>
    <row r="331" spans="1:12" ht="22.5" customHeight="1" thickTop="1">
      <c r="A331" s="5" t="s">
        <v>4</v>
      </c>
      <c r="B331" s="11"/>
      <c r="C331" s="945" t="s">
        <v>592</v>
      </c>
      <c r="D331" s="946"/>
      <c r="E331" s="945" t="s">
        <v>593</v>
      </c>
      <c r="F331" s="946"/>
      <c r="G331" s="945" t="s">
        <v>594</v>
      </c>
      <c r="H331" s="964"/>
      <c r="I331" s="821"/>
      <c r="J331" s="52"/>
      <c r="K331" s="1"/>
      <c r="L331" s="1"/>
    </row>
    <row r="332" spans="1:12" ht="15">
      <c r="A332" s="200" t="s">
        <v>168</v>
      </c>
      <c r="B332" s="612" t="s">
        <v>169</v>
      </c>
      <c r="C332" s="987">
        <f>CEILING(47*$Z$1,0.1)</f>
        <v>58.800000000000004</v>
      </c>
      <c r="D332" s="1093"/>
      <c r="E332" s="987">
        <f>CEILING(52*$Z$1,0.1)</f>
        <v>65</v>
      </c>
      <c r="F332" s="1093"/>
      <c r="G332" s="987">
        <f>CEILING(47*$Z$1,0.1)</f>
        <v>58.800000000000004</v>
      </c>
      <c r="H332" s="1093"/>
      <c r="I332" s="821"/>
      <c r="J332" s="52"/>
      <c r="K332" s="1"/>
      <c r="L332" s="1"/>
    </row>
    <row r="333" spans="1:12" ht="16.5" customHeight="1">
      <c r="A333" s="21" t="s">
        <v>18</v>
      </c>
      <c r="B333" s="613" t="s">
        <v>170</v>
      </c>
      <c r="C333" s="955">
        <f>CEILING((C332+25*$Z$1),0.1)</f>
        <v>90.10000000000001</v>
      </c>
      <c r="D333" s="956"/>
      <c r="E333" s="955">
        <f>CEILING((E332+25*$Z$1),0.1)</f>
        <v>96.30000000000001</v>
      </c>
      <c r="F333" s="956"/>
      <c r="G333" s="955">
        <f>CEILING((G332+25*$Z$1),0.1)</f>
        <v>90.10000000000001</v>
      </c>
      <c r="H333" s="956"/>
      <c r="I333" s="52"/>
      <c r="J333" s="52"/>
      <c r="K333" s="1"/>
      <c r="L333" s="1"/>
    </row>
    <row r="334" spans="1:12" ht="17.25" customHeight="1">
      <c r="A334" s="571"/>
      <c r="B334" s="620" t="s">
        <v>9</v>
      </c>
      <c r="C334" s="955">
        <f>CEILING(43*$Z$1,0.1)</f>
        <v>53.800000000000004</v>
      </c>
      <c r="D334" s="956"/>
      <c r="E334" s="955">
        <f>CEILING(44*$Z$1,0.1)</f>
        <v>55</v>
      </c>
      <c r="F334" s="956"/>
      <c r="G334" s="955">
        <f>CEILING(43*$Z$1,0.1)</f>
        <v>53.800000000000004</v>
      </c>
      <c r="H334" s="956"/>
      <c r="I334" s="52"/>
      <c r="J334" s="52"/>
      <c r="K334" s="1"/>
      <c r="L334" s="1"/>
    </row>
    <row r="335" spans="1:12" ht="14.25">
      <c r="A335" s="515" t="s">
        <v>911</v>
      </c>
      <c r="B335" s="641" t="s">
        <v>101</v>
      </c>
      <c r="C335" s="961">
        <v>0</v>
      </c>
      <c r="D335" s="980"/>
      <c r="E335" s="961">
        <v>0</v>
      </c>
      <c r="F335" s="980"/>
      <c r="G335" s="961">
        <v>0</v>
      </c>
      <c r="H335" s="980"/>
      <c r="I335" s="52"/>
      <c r="J335" s="52"/>
      <c r="K335" s="1"/>
      <c r="L335" s="1"/>
    </row>
    <row r="336" spans="1:12" ht="15">
      <c r="A336" s="21"/>
      <c r="B336" s="613" t="s">
        <v>10</v>
      </c>
      <c r="C336" s="947">
        <f>CEILING(89*$Z$1,0.1)</f>
        <v>111.30000000000001</v>
      </c>
      <c r="D336" s="957"/>
      <c r="E336" s="947">
        <f>CEILING(96*$Z$1,0.1)</f>
        <v>120</v>
      </c>
      <c r="F336" s="957"/>
      <c r="G336" s="947">
        <f>CEILING(89*$Z$1,0.1)</f>
        <v>111.30000000000001</v>
      </c>
      <c r="H336" s="957"/>
      <c r="I336" s="52"/>
      <c r="J336" s="52"/>
      <c r="K336" s="1"/>
      <c r="L336" s="1"/>
    </row>
    <row r="337" spans="1:12" ht="17.25" customHeight="1" thickBot="1">
      <c r="A337" s="354" t="s">
        <v>263</v>
      </c>
      <c r="B337" s="615" t="s">
        <v>15</v>
      </c>
      <c r="C337" s="967">
        <f>CEILING((C336+40*$Z$1),0.1)</f>
        <v>161.3</v>
      </c>
      <c r="D337" s="973"/>
      <c r="E337" s="967">
        <f>CEILING((E336+40*$Z$1),0.1)</f>
        <v>170</v>
      </c>
      <c r="F337" s="973"/>
      <c r="G337" s="967">
        <f>CEILING((G336+40*$Z$1),0.1)</f>
        <v>161.3</v>
      </c>
      <c r="H337" s="973"/>
      <c r="I337" s="52"/>
      <c r="J337" s="52"/>
      <c r="K337" s="1"/>
      <c r="L337" s="1"/>
    </row>
    <row r="338" spans="1:12" ht="15.75" customHeight="1" thickTop="1">
      <c r="A338" s="616" t="s">
        <v>511</v>
      </c>
      <c r="B338" s="642"/>
      <c r="C338" s="608"/>
      <c r="D338" s="608"/>
      <c r="E338" s="605"/>
      <c r="F338" s="605"/>
      <c r="G338" s="608"/>
      <c r="H338" s="608"/>
      <c r="I338" s="52"/>
      <c r="J338" s="52"/>
      <c r="K338" s="1"/>
      <c r="L338" s="1"/>
    </row>
    <row r="339" spans="1:12" ht="20.25" customHeight="1" thickBot="1">
      <c r="A339" s="386"/>
      <c r="B339" s="386"/>
      <c r="C339" s="386"/>
      <c r="D339" s="386"/>
      <c r="E339" s="386"/>
      <c r="F339" s="386"/>
      <c r="G339" s="386"/>
      <c r="H339" s="386"/>
      <c r="I339" s="7"/>
      <c r="J339" s="7"/>
      <c r="K339" s="1"/>
      <c r="L339" s="1"/>
    </row>
    <row r="340" spans="1:12" ht="23.25" customHeight="1" thickTop="1">
      <c r="A340" s="27" t="s">
        <v>4</v>
      </c>
      <c r="B340" s="144"/>
      <c r="C340" s="945" t="s">
        <v>592</v>
      </c>
      <c r="D340" s="946"/>
      <c r="E340" s="945" t="s">
        <v>593</v>
      </c>
      <c r="F340" s="946"/>
      <c r="G340" s="945" t="s">
        <v>594</v>
      </c>
      <c r="H340" s="964"/>
      <c r="I340" s="1140"/>
      <c r="J340" s="1142"/>
      <c r="K340" s="1"/>
      <c r="L340" s="1"/>
    </row>
    <row r="341" spans="1:12" ht="15">
      <c r="A341" s="200" t="s">
        <v>165</v>
      </c>
      <c r="B341" s="789" t="s">
        <v>11</v>
      </c>
      <c r="C341" s="951">
        <f>CEILING(68*$Z$1,0.1)</f>
        <v>85</v>
      </c>
      <c r="D341" s="954"/>
      <c r="E341" s="951">
        <f>CEILING(88*$Z$1,0.1)</f>
        <v>110</v>
      </c>
      <c r="F341" s="954"/>
      <c r="G341" s="951">
        <f>CEILING(68*$Z$1,0.1)</f>
        <v>85</v>
      </c>
      <c r="H341" s="954"/>
      <c r="I341" s="1109"/>
      <c r="J341" s="1053"/>
      <c r="K341" s="14"/>
      <c r="L341" s="14"/>
    </row>
    <row r="342" spans="1:12" ht="15">
      <c r="A342" s="202" t="s">
        <v>18</v>
      </c>
      <c r="B342" s="784" t="s">
        <v>7</v>
      </c>
      <c r="C342" s="951">
        <f>CEILING(104*$Z$1,0.1)</f>
        <v>130</v>
      </c>
      <c r="D342" s="952"/>
      <c r="E342" s="951">
        <f>CEILING(135*$Z$1,0.1)</f>
        <v>168.8</v>
      </c>
      <c r="F342" s="952"/>
      <c r="G342" s="951">
        <f>CEILING(104*$Z$1,0.1)</f>
        <v>130</v>
      </c>
      <c r="H342" s="952"/>
      <c r="I342" s="1109"/>
      <c r="J342" s="1053"/>
      <c r="K342" s="56"/>
      <c r="L342" s="56"/>
    </row>
    <row r="343" spans="1:12" ht="15">
      <c r="A343" s="202"/>
      <c r="B343" s="824" t="s">
        <v>9</v>
      </c>
      <c r="C343" s="951">
        <f>CEILING((C341*0.85),0.1)</f>
        <v>72.3</v>
      </c>
      <c r="D343" s="952"/>
      <c r="E343" s="951">
        <f>CEILING((E341*0.85),0.1)</f>
        <v>93.5</v>
      </c>
      <c r="F343" s="952"/>
      <c r="G343" s="951">
        <f>CEILING((G341*0.85),0.1)</f>
        <v>72.3</v>
      </c>
      <c r="H343" s="952"/>
      <c r="I343" s="1109"/>
      <c r="J343" s="1053"/>
      <c r="K343" s="56"/>
      <c r="L343" s="56"/>
    </row>
    <row r="344" spans="1:12" ht="14.25">
      <c r="A344" s="571"/>
      <c r="B344" s="784" t="s">
        <v>260</v>
      </c>
      <c r="C344" s="947">
        <f>CEILING(82*$Z$1,0.1)</f>
        <v>102.5</v>
      </c>
      <c r="D344" s="957"/>
      <c r="E344" s="947">
        <f>CEILING(102*$Z$1,0.1)</f>
        <v>127.5</v>
      </c>
      <c r="F344" s="957"/>
      <c r="G344" s="947">
        <f>CEILING(82*$Z$1,0.1)</f>
        <v>102.5</v>
      </c>
      <c r="H344" s="957"/>
      <c r="I344" s="1109"/>
      <c r="J344" s="1053"/>
      <c r="K344" s="56"/>
      <c r="L344" s="56"/>
    </row>
    <row r="345" spans="1:12" ht="15">
      <c r="A345" s="202"/>
      <c r="B345" s="784" t="s">
        <v>297</v>
      </c>
      <c r="C345" s="947">
        <f>CEILING(118*$Z$1,0.1)</f>
        <v>147.5</v>
      </c>
      <c r="D345" s="957"/>
      <c r="E345" s="947">
        <f>CEILING(149*$Z$1,0.1)</f>
        <v>186.3</v>
      </c>
      <c r="F345" s="957"/>
      <c r="G345" s="947">
        <f>CEILING(118*$Z$1,0.1)</f>
        <v>147.5</v>
      </c>
      <c r="H345" s="957"/>
      <c r="I345" s="1109"/>
      <c r="J345" s="1053"/>
      <c r="K345" s="56"/>
      <c r="L345" s="56"/>
    </row>
    <row r="346" spans="1:12" ht="15" customHeight="1">
      <c r="A346" s="202"/>
      <c r="B346" s="784" t="s">
        <v>491</v>
      </c>
      <c r="C346" s="947">
        <f>CEILING(90*$Z$1,0.1)</f>
        <v>112.5</v>
      </c>
      <c r="D346" s="957"/>
      <c r="E346" s="947">
        <f>CEILING(110*$Z$1,0.1)</f>
        <v>137.5</v>
      </c>
      <c r="F346" s="957"/>
      <c r="G346" s="947">
        <f>CEILING(90*$Z$1,0.1)</f>
        <v>112.5</v>
      </c>
      <c r="H346" s="957"/>
      <c r="I346" s="1109"/>
      <c r="J346" s="1053"/>
      <c r="K346" s="56"/>
      <c r="L346" s="56"/>
    </row>
    <row r="347" spans="1:12" ht="15">
      <c r="A347" s="202"/>
      <c r="B347" s="784" t="s">
        <v>492</v>
      </c>
      <c r="C347" s="947">
        <f>CEILING(126*$Z$1,0.1)</f>
        <v>157.5</v>
      </c>
      <c r="D347" s="957"/>
      <c r="E347" s="947">
        <f>CEILING(157*$Z$1,0.1)</f>
        <v>196.3</v>
      </c>
      <c r="F347" s="957"/>
      <c r="G347" s="947">
        <f>CEILING(126*$Z$1,0.1)</f>
        <v>157.5</v>
      </c>
      <c r="H347" s="957"/>
      <c r="I347" s="1109"/>
      <c r="J347" s="1053"/>
      <c r="K347" s="56"/>
      <c r="L347" s="56"/>
    </row>
    <row r="348" spans="1:12" ht="15">
      <c r="A348" s="202"/>
      <c r="B348" s="784" t="s">
        <v>78</v>
      </c>
      <c r="C348" s="947">
        <f>CEILING(118*$Z$1,0.1)</f>
        <v>147.5</v>
      </c>
      <c r="D348" s="957"/>
      <c r="E348" s="947">
        <f>CEILING(137*$Z$1,0.1)</f>
        <v>171.3</v>
      </c>
      <c r="F348" s="957"/>
      <c r="G348" s="947">
        <f>CEILING(118*$Z$1,0.1)</f>
        <v>147.5</v>
      </c>
      <c r="H348" s="957"/>
      <c r="I348" s="1109"/>
      <c r="J348" s="1053"/>
      <c r="K348" s="56"/>
      <c r="L348" s="56"/>
    </row>
    <row r="349" spans="1:12" ht="15.75" thickBot="1">
      <c r="A349" s="204" t="s">
        <v>307</v>
      </c>
      <c r="B349" s="793" t="s">
        <v>77</v>
      </c>
      <c r="C349" s="958">
        <f>CEILING(185*$Z$1,0.1)</f>
        <v>231.3</v>
      </c>
      <c r="D349" s="959"/>
      <c r="E349" s="958">
        <f>CEILING(204.5*$Z$1,0.1)</f>
        <v>255.70000000000002</v>
      </c>
      <c r="F349" s="959"/>
      <c r="G349" s="958">
        <f>CEILING(185*$Z$1,0.1)</f>
        <v>231.3</v>
      </c>
      <c r="H349" s="959"/>
      <c r="I349" s="1109"/>
      <c r="J349" s="1053"/>
      <c r="K349" s="56"/>
      <c r="L349" s="56"/>
    </row>
    <row r="350" spans="1:12" ht="15" thickTop="1">
      <c r="A350" s="545" t="s">
        <v>493</v>
      </c>
      <c r="B350" s="575"/>
      <c r="C350" s="602"/>
      <c r="D350" s="602"/>
      <c r="E350" s="602"/>
      <c r="F350" s="602"/>
      <c r="G350" s="602"/>
      <c r="H350" s="602"/>
      <c r="I350" s="604"/>
      <c r="J350" s="604"/>
      <c r="K350" s="56"/>
      <c r="L350" s="56"/>
    </row>
    <row r="351" spans="1:12" ht="16.5" customHeight="1" thickBot="1">
      <c r="A351" s="47"/>
      <c r="B351" s="10"/>
      <c r="C351" s="10"/>
      <c r="D351" s="10"/>
      <c r="E351" s="10"/>
      <c r="F351" s="10"/>
      <c r="G351" s="10"/>
      <c r="H351" s="10"/>
      <c r="I351" s="7"/>
      <c r="J351" s="7"/>
      <c r="K351" s="1"/>
      <c r="L351" s="1"/>
    </row>
    <row r="352" spans="1:12" ht="23.25" customHeight="1" thickTop="1">
      <c r="A352" s="697" t="s">
        <v>4</v>
      </c>
      <c r="B352" s="11"/>
      <c r="C352" s="945" t="s">
        <v>592</v>
      </c>
      <c r="D352" s="946"/>
      <c r="E352" s="945" t="s">
        <v>593</v>
      </c>
      <c r="F352" s="946"/>
      <c r="G352" s="945" t="s">
        <v>594</v>
      </c>
      <c r="H352" s="964"/>
      <c r="I352" s="6"/>
      <c r="J352" s="7"/>
      <c r="K352" s="1"/>
      <c r="L352" s="1"/>
    </row>
    <row r="353" spans="1:12" ht="15">
      <c r="A353" s="200" t="s">
        <v>739</v>
      </c>
      <c r="B353" s="321" t="s">
        <v>11</v>
      </c>
      <c r="C353" s="951">
        <f>CEILING(83*$Z$1,0.1)</f>
        <v>103.80000000000001</v>
      </c>
      <c r="D353" s="954"/>
      <c r="E353" s="951">
        <f>CEILING(101*$Z$1,0.1)</f>
        <v>126.30000000000001</v>
      </c>
      <c r="F353" s="954"/>
      <c r="G353" s="951">
        <f>CEILING(83*$Z$1,0.1)</f>
        <v>103.80000000000001</v>
      </c>
      <c r="H353" s="954"/>
      <c r="I353" s="6"/>
      <c r="J353" s="7"/>
      <c r="K353" s="1"/>
      <c r="L353" s="1"/>
    </row>
    <row r="354" spans="1:12" ht="15">
      <c r="A354" s="21" t="s">
        <v>47</v>
      </c>
      <c r="B354" s="232" t="s">
        <v>7</v>
      </c>
      <c r="C354" s="951">
        <f>CEILING(103.5*$Z$1,0.1)</f>
        <v>129.4</v>
      </c>
      <c r="D354" s="952"/>
      <c r="E354" s="951">
        <f>CEILING(126.5*$Z$1,0.1)</f>
        <v>158.20000000000002</v>
      </c>
      <c r="F354" s="952"/>
      <c r="G354" s="951">
        <f>CEILING(103.5*$Z$1,0.1)</f>
        <v>129.4</v>
      </c>
      <c r="H354" s="952"/>
      <c r="I354" s="7"/>
      <c r="J354" s="7"/>
      <c r="K354" s="1"/>
      <c r="L354" s="1"/>
    </row>
    <row r="355" spans="1:12" ht="14.25">
      <c r="A355" s="823"/>
      <c r="B355" s="236" t="s">
        <v>9</v>
      </c>
      <c r="C355" s="951">
        <f>CEILING((C353*0.85),0.1)</f>
        <v>88.30000000000001</v>
      </c>
      <c r="D355" s="952"/>
      <c r="E355" s="951">
        <f>CEILING((E353*0.85),0.1)</f>
        <v>107.4</v>
      </c>
      <c r="F355" s="952"/>
      <c r="G355" s="951">
        <f>CEILING((G353*0.85),0.1)</f>
        <v>88.30000000000001</v>
      </c>
      <c r="H355" s="952"/>
      <c r="I355" s="7"/>
      <c r="J355" s="7"/>
      <c r="K355" s="1"/>
      <c r="L355" s="1"/>
    </row>
    <row r="356" spans="1:12" ht="14.25">
      <c r="A356" s="823" t="s">
        <v>738</v>
      </c>
      <c r="B356" s="139" t="s">
        <v>74</v>
      </c>
      <c r="C356" s="947">
        <f>CEILING(100*$Z$1,0.1)</f>
        <v>125</v>
      </c>
      <c r="D356" s="957"/>
      <c r="E356" s="947">
        <f>CEILING(118*$Z$1,0.1)</f>
        <v>147.5</v>
      </c>
      <c r="F356" s="957"/>
      <c r="G356" s="947">
        <f>CEILING(100*$Z$1,0.1)</f>
        <v>125</v>
      </c>
      <c r="H356" s="957"/>
      <c r="I356" s="7"/>
      <c r="J356" s="7"/>
      <c r="K356" s="1"/>
      <c r="L356" s="1"/>
    </row>
    <row r="357" spans="1:12" ht="15">
      <c r="A357" s="21"/>
      <c r="B357" s="139" t="s">
        <v>75</v>
      </c>
      <c r="C357" s="951">
        <f>CEILING(120.5*$Z$1,0.1)</f>
        <v>150.70000000000002</v>
      </c>
      <c r="D357" s="952"/>
      <c r="E357" s="951">
        <f>CEILING(143*$Z$1,0.1)</f>
        <v>178.8</v>
      </c>
      <c r="F357" s="952"/>
      <c r="G357" s="951">
        <f>CEILING(120.5*$Z$1,0.1)</f>
        <v>150.70000000000002</v>
      </c>
      <c r="H357" s="952"/>
      <c r="I357" s="7"/>
      <c r="J357" s="7"/>
      <c r="K357" s="1"/>
      <c r="L357" s="1"/>
    </row>
    <row r="358" spans="1:12" ht="15.75" customHeight="1">
      <c r="A358" s="21"/>
      <c r="B358" s="139" t="s">
        <v>78</v>
      </c>
      <c r="C358" s="947">
        <f>CEILING(128*$Z$1,0.1)</f>
        <v>160</v>
      </c>
      <c r="D358" s="957"/>
      <c r="E358" s="947">
        <f>CEILING(146*$Z$1,0.1)</f>
        <v>182.5</v>
      </c>
      <c r="F358" s="957"/>
      <c r="G358" s="947">
        <f>CEILING(128*$Z$1,0.1)</f>
        <v>160</v>
      </c>
      <c r="H358" s="957"/>
      <c r="I358" s="7"/>
      <c r="J358" s="7"/>
      <c r="K358" s="1"/>
      <c r="L358" s="1"/>
    </row>
    <row r="359" spans="1:12" ht="15" customHeight="1" thickBot="1">
      <c r="A359" s="204" t="s">
        <v>737</v>
      </c>
      <c r="B359" s="315" t="s">
        <v>240</v>
      </c>
      <c r="C359" s="958">
        <f>CEILING(307*$Z$1,0.1)</f>
        <v>383.8</v>
      </c>
      <c r="D359" s="959"/>
      <c r="E359" s="958">
        <f>CEILING(325*$Z$1,0.1)</f>
        <v>406.3</v>
      </c>
      <c r="F359" s="959"/>
      <c r="G359" s="958">
        <f>CEILING(307*$Z$1,0.1)</f>
        <v>383.8</v>
      </c>
      <c r="H359" s="959"/>
      <c r="I359" s="7"/>
      <c r="J359" s="7"/>
      <c r="K359" s="1"/>
      <c r="L359" s="1"/>
    </row>
    <row r="360" spans="1:12" ht="15" thickTop="1">
      <c r="A360" s="1038" t="s">
        <v>176</v>
      </c>
      <c r="B360" s="1038"/>
      <c r="C360" s="1038"/>
      <c r="D360" s="1038"/>
      <c r="E360" s="1038"/>
      <c r="F360" s="1038"/>
      <c r="G360" s="1038"/>
      <c r="H360" s="1038"/>
      <c r="I360" s="7"/>
      <c r="J360" s="7"/>
      <c r="K360" s="1"/>
      <c r="L360" s="1"/>
    </row>
    <row r="361" spans="1:12" ht="15" thickBot="1">
      <c r="A361" s="10"/>
      <c r="B361" s="10"/>
      <c r="C361" s="35"/>
      <c r="D361" s="35"/>
      <c r="E361" s="35"/>
      <c r="F361" s="35"/>
      <c r="G361" s="35"/>
      <c r="H361" s="35"/>
      <c r="I361" s="7"/>
      <c r="J361" s="7"/>
      <c r="K361" s="1"/>
      <c r="L361" s="1"/>
    </row>
    <row r="362" spans="1:12" ht="25.5" customHeight="1" thickTop="1">
      <c r="A362" s="697" t="s">
        <v>4</v>
      </c>
      <c r="B362" s="11"/>
      <c r="C362" s="945" t="s">
        <v>592</v>
      </c>
      <c r="D362" s="946"/>
      <c r="E362" s="945" t="s">
        <v>741</v>
      </c>
      <c r="F362" s="946"/>
      <c r="G362" s="945" t="s">
        <v>740</v>
      </c>
      <c r="H362" s="964"/>
      <c r="I362" s="1140"/>
      <c r="J362" s="1141"/>
      <c r="K362" s="25"/>
      <c r="L362" s="25"/>
    </row>
    <row r="363" spans="1:12" ht="15">
      <c r="A363" s="13" t="s">
        <v>735</v>
      </c>
      <c r="B363" s="308" t="s">
        <v>11</v>
      </c>
      <c r="C363" s="951">
        <f>CEILING(58*$Z$1,0.1)</f>
        <v>72.5</v>
      </c>
      <c r="D363" s="954"/>
      <c r="E363" s="951">
        <f>CEILING(75*$Z$1,0.1)</f>
        <v>93.80000000000001</v>
      </c>
      <c r="F363" s="954"/>
      <c r="G363" s="951">
        <f>CEILING(58*$Z$1,0.1)</f>
        <v>72.5</v>
      </c>
      <c r="H363" s="954"/>
      <c r="I363" s="1109"/>
      <c r="J363" s="1053"/>
      <c r="K363" s="1"/>
      <c r="L363" s="1"/>
    </row>
    <row r="364" spans="1:12" ht="15">
      <c r="A364" s="15" t="s">
        <v>6</v>
      </c>
      <c r="B364" s="327" t="s">
        <v>7</v>
      </c>
      <c r="C364" s="951">
        <f>CEILING(72.5*$Z$1,0.1)</f>
        <v>90.7</v>
      </c>
      <c r="D364" s="952"/>
      <c r="E364" s="951">
        <f>CEILING(93.75*$Z$1,0.1)</f>
        <v>117.2</v>
      </c>
      <c r="F364" s="952"/>
      <c r="G364" s="951">
        <f>CEILING(72.5*$Z$1,0.1)</f>
        <v>90.7</v>
      </c>
      <c r="H364" s="952"/>
      <c r="I364" s="1109"/>
      <c r="J364" s="1053"/>
      <c r="K364" s="1"/>
      <c r="L364" s="1"/>
    </row>
    <row r="365" spans="1:12" ht="14.25">
      <c r="A365" s="823"/>
      <c r="B365" s="42" t="s">
        <v>69</v>
      </c>
      <c r="C365" s="951">
        <f>CEILING((C363*0.85),0.1)</f>
        <v>61.7</v>
      </c>
      <c r="D365" s="952"/>
      <c r="E365" s="951">
        <f>CEILING((E363*0.85),0.1)</f>
        <v>79.80000000000001</v>
      </c>
      <c r="F365" s="952"/>
      <c r="G365" s="951">
        <f>CEILING((G363*0.85),0.1)</f>
        <v>61.7</v>
      </c>
      <c r="H365" s="952"/>
      <c r="I365" s="1109"/>
      <c r="J365" s="1053"/>
      <c r="K365" s="1"/>
      <c r="L365" s="1"/>
    </row>
    <row r="366" spans="1:12" ht="14.25">
      <c r="A366" s="823" t="s">
        <v>736</v>
      </c>
      <c r="B366" s="203" t="s">
        <v>166</v>
      </c>
      <c r="C366" s="949">
        <v>0</v>
      </c>
      <c r="D366" s="953"/>
      <c r="E366" s="949">
        <v>0</v>
      </c>
      <c r="F366" s="953"/>
      <c r="G366" s="949">
        <v>0</v>
      </c>
      <c r="H366" s="953"/>
      <c r="I366" s="1109"/>
      <c r="J366" s="1053"/>
      <c r="K366" s="1"/>
      <c r="L366" s="1"/>
    </row>
    <row r="367" spans="1:12" ht="15.75" customHeight="1">
      <c r="A367" s="174"/>
      <c r="B367" s="203" t="s">
        <v>167</v>
      </c>
      <c r="C367" s="951">
        <f>CEILING((C363*0.5),0.1)</f>
        <v>36.300000000000004</v>
      </c>
      <c r="D367" s="952"/>
      <c r="E367" s="951">
        <f>CEILING((E363*0.5),0.1)</f>
        <v>46.900000000000006</v>
      </c>
      <c r="F367" s="952"/>
      <c r="G367" s="951">
        <f>CEILING((G363*0.5),0.1)</f>
        <v>36.300000000000004</v>
      </c>
      <c r="H367" s="952"/>
      <c r="I367" s="8"/>
      <c r="J367" s="45"/>
      <c r="K367" s="1"/>
      <c r="L367" s="1"/>
    </row>
    <row r="368" spans="1:12" ht="15">
      <c r="A368" s="15"/>
      <c r="B368" s="308" t="s">
        <v>260</v>
      </c>
      <c r="C368" s="947">
        <f>CEILING(75*$Z$1,0.1)</f>
        <v>93.80000000000001</v>
      </c>
      <c r="D368" s="957"/>
      <c r="E368" s="947">
        <f>CEILING(92*$Z$1,0.1)</f>
        <v>115</v>
      </c>
      <c r="F368" s="957"/>
      <c r="G368" s="947">
        <f>CEILING(75*$Z$1,0.1)</f>
        <v>93.80000000000001</v>
      </c>
      <c r="H368" s="957"/>
      <c r="I368" s="1109"/>
      <c r="J368" s="1053"/>
      <c r="K368" s="1"/>
      <c r="L368" s="1"/>
    </row>
    <row r="369" spans="1:12" ht="15">
      <c r="A369" s="15"/>
      <c r="B369" s="327" t="s">
        <v>297</v>
      </c>
      <c r="C369" s="951">
        <f>CEILING(92*$Z$1,0.1)</f>
        <v>115</v>
      </c>
      <c r="D369" s="952"/>
      <c r="E369" s="951">
        <f>CEILING(110.75*$Z$1,0.1)</f>
        <v>138.5</v>
      </c>
      <c r="F369" s="952"/>
      <c r="G369" s="951">
        <f>CEILING(92*$Z$1,0.1)</f>
        <v>115</v>
      </c>
      <c r="H369" s="952"/>
      <c r="I369" s="1109"/>
      <c r="J369" s="1053"/>
      <c r="K369" s="1"/>
      <c r="L369" s="1"/>
    </row>
    <row r="370" spans="1:12" ht="15.75" thickBot="1">
      <c r="A370" s="204" t="s">
        <v>737</v>
      </c>
      <c r="B370" s="34" t="s">
        <v>78</v>
      </c>
      <c r="C370" s="958">
        <f>CEILING(93*$Z$1,0.1)</f>
        <v>116.30000000000001</v>
      </c>
      <c r="D370" s="959"/>
      <c r="E370" s="958">
        <f>CEILING(108.6*$Z$1,0.1)</f>
        <v>135.8</v>
      </c>
      <c r="F370" s="959"/>
      <c r="G370" s="958">
        <f>CEILING(93*$Z$1,0.1)</f>
        <v>116.30000000000001</v>
      </c>
      <c r="H370" s="959"/>
      <c r="I370" s="1109"/>
      <c r="J370" s="1053"/>
      <c r="K370" s="1"/>
      <c r="L370" s="1"/>
    </row>
    <row r="371" spans="1:12" ht="19.5" customHeight="1" thickBot="1" thickTop="1">
      <c r="A371" s="1112"/>
      <c r="B371" s="1112"/>
      <c r="C371" s="1112"/>
      <c r="D371" s="1112"/>
      <c r="E371" s="1113"/>
      <c r="F371" s="1113"/>
      <c r="G371" s="1113"/>
      <c r="H371" s="1113"/>
      <c r="I371" s="1"/>
      <c r="J371" s="1"/>
      <c r="K371" s="1"/>
      <c r="L371" s="1"/>
    </row>
    <row r="372" spans="1:12" ht="22.5" customHeight="1" thickTop="1">
      <c r="A372" s="5" t="s">
        <v>4</v>
      </c>
      <c r="B372" s="11"/>
      <c r="C372" s="945" t="s">
        <v>625</v>
      </c>
      <c r="D372" s="964"/>
      <c r="E372" s="975"/>
      <c r="F372" s="976"/>
      <c r="G372" s="976"/>
      <c r="H372" s="976"/>
      <c r="I372" s="49"/>
      <c r="J372" s="49"/>
      <c r="K372" s="1"/>
      <c r="L372" s="1"/>
    </row>
    <row r="373" spans="1:12" ht="15">
      <c r="A373" s="206" t="s">
        <v>20</v>
      </c>
      <c r="B373" s="789" t="s">
        <v>104</v>
      </c>
      <c r="C373" s="955">
        <f>CEILING(55*$Z$1,0.1)</f>
        <v>68.8</v>
      </c>
      <c r="D373" s="960"/>
      <c r="E373" s="951"/>
      <c r="F373" s="954"/>
      <c r="G373" s="954"/>
      <c r="H373" s="954"/>
      <c r="I373" s="17"/>
      <c r="J373" s="17"/>
      <c r="K373" s="14"/>
      <c r="L373" s="14"/>
    </row>
    <row r="374" spans="1:12" ht="18" customHeight="1">
      <c r="A374" s="163" t="s">
        <v>6</v>
      </c>
      <c r="B374" s="784" t="s">
        <v>105</v>
      </c>
      <c r="C374" s="955">
        <f>CEILING(68.75*$Z$1,0.1)</f>
        <v>86</v>
      </c>
      <c r="D374" s="960"/>
      <c r="E374" s="951"/>
      <c r="F374" s="954"/>
      <c r="G374" s="954"/>
      <c r="H374" s="954"/>
      <c r="I374" s="17"/>
      <c r="J374" s="17"/>
      <c r="K374" s="1"/>
      <c r="L374" s="1"/>
    </row>
    <row r="375" spans="1:12" ht="18" customHeight="1">
      <c r="A375" s="163" t="s">
        <v>178</v>
      </c>
      <c r="B375" s="784" t="s">
        <v>9</v>
      </c>
      <c r="C375" s="955">
        <f>CEILING((C373*0.85),0.1)</f>
        <v>58.5</v>
      </c>
      <c r="D375" s="960"/>
      <c r="E375" s="951"/>
      <c r="F375" s="954"/>
      <c r="G375" s="954"/>
      <c r="H375" s="954"/>
      <c r="I375" s="17"/>
      <c r="J375" s="17"/>
      <c r="K375" s="1"/>
      <c r="L375" s="1"/>
    </row>
    <row r="376" spans="1:12" ht="15.75" customHeight="1">
      <c r="A376" s="782" t="s">
        <v>903</v>
      </c>
      <c r="B376" s="237" t="s">
        <v>101</v>
      </c>
      <c r="C376" s="961">
        <v>0</v>
      </c>
      <c r="D376" s="962"/>
      <c r="E376" s="951"/>
      <c r="F376" s="954"/>
      <c r="G376" s="962"/>
      <c r="H376" s="962"/>
      <c r="I376" s="17"/>
      <c r="J376" s="17"/>
      <c r="K376" s="1"/>
      <c r="L376" s="1"/>
    </row>
    <row r="377" spans="1:12" ht="17.25" customHeight="1">
      <c r="A377" s="782" t="s">
        <v>904</v>
      </c>
      <c r="B377" s="208" t="s">
        <v>133</v>
      </c>
      <c r="C377" s="947">
        <f>CEILING(80*$Z$1,0.1)</f>
        <v>100</v>
      </c>
      <c r="D377" s="948"/>
      <c r="E377" s="947"/>
      <c r="F377" s="948"/>
      <c r="G377" s="948"/>
      <c r="H377" s="948"/>
      <c r="I377" s="17"/>
      <c r="J377" s="17"/>
      <c r="K377" s="1"/>
      <c r="L377" s="1"/>
    </row>
    <row r="378" spans="1:12" ht="17.25" customHeight="1" thickBot="1">
      <c r="A378" s="205" t="s">
        <v>730</v>
      </c>
      <c r="B378" s="793" t="s">
        <v>78</v>
      </c>
      <c r="C378" s="958">
        <f>CEILING(90*$Z$1,0.1)</f>
        <v>112.5</v>
      </c>
      <c r="D378" s="1040"/>
      <c r="E378" s="947"/>
      <c r="F378" s="948"/>
      <c r="G378" s="948"/>
      <c r="H378" s="948"/>
      <c r="I378" s="17"/>
      <c r="J378" s="17"/>
      <c r="K378" s="1"/>
      <c r="L378" s="1"/>
    </row>
    <row r="379" spans="1:12" ht="15.75" customHeight="1" thickTop="1">
      <c r="A379" s="352" t="s">
        <v>731</v>
      </c>
      <c r="B379" s="822"/>
      <c r="C379" s="799"/>
      <c r="D379" s="799"/>
      <c r="E379" s="913"/>
      <c r="F379" s="913"/>
      <c r="G379" s="913"/>
      <c r="H379" s="913"/>
      <c r="I379" s="17"/>
      <c r="J379" s="17"/>
      <c r="K379" s="1"/>
      <c r="L379" s="1"/>
    </row>
    <row r="380" spans="1:12" ht="19.5" customHeight="1" thickBot="1">
      <c r="A380" s="10"/>
      <c r="B380" s="10"/>
      <c r="C380" s="10"/>
      <c r="D380" s="10"/>
      <c r="E380" s="268"/>
      <c r="F380" s="268"/>
      <c r="G380" s="268"/>
      <c r="H380" s="268"/>
      <c r="I380" s="7"/>
      <c r="J380" s="7"/>
      <c r="K380" s="1"/>
      <c r="L380" s="1"/>
    </row>
    <row r="381" spans="1:12" ht="23.25" customHeight="1" thickTop="1">
      <c r="A381" s="5" t="s">
        <v>4</v>
      </c>
      <c r="B381" s="11"/>
      <c r="C381" s="945" t="s">
        <v>625</v>
      </c>
      <c r="D381" s="964"/>
      <c r="E381" s="975"/>
      <c r="F381" s="976"/>
      <c r="G381" s="976"/>
      <c r="H381" s="976"/>
      <c r="I381" s="49"/>
      <c r="J381" s="49"/>
      <c r="K381" s="1"/>
      <c r="L381" s="1"/>
    </row>
    <row r="382" spans="1:12" ht="17.25" customHeight="1">
      <c r="A382" s="206" t="s">
        <v>254</v>
      </c>
      <c r="B382" s="789" t="s">
        <v>53</v>
      </c>
      <c r="C382" s="951">
        <f>CEILING(60*$Z$1,0.1)</f>
        <v>75</v>
      </c>
      <c r="D382" s="954"/>
      <c r="E382" s="951"/>
      <c r="F382" s="954"/>
      <c r="G382" s="954"/>
      <c r="H382" s="954"/>
      <c r="I382" s="17"/>
      <c r="J382" s="17"/>
      <c r="K382" s="14"/>
      <c r="L382" s="14"/>
    </row>
    <row r="383" spans="1:12" ht="15.75" customHeight="1">
      <c r="A383" s="163" t="s">
        <v>6</v>
      </c>
      <c r="B383" s="784" t="s">
        <v>107</v>
      </c>
      <c r="C383" s="951">
        <f>CEILING(75*$Z$1,0.1)</f>
        <v>93.80000000000001</v>
      </c>
      <c r="D383" s="954"/>
      <c r="E383" s="951"/>
      <c r="F383" s="954"/>
      <c r="G383" s="954"/>
      <c r="H383" s="954"/>
      <c r="I383" s="17"/>
      <c r="J383" s="17"/>
      <c r="K383" s="1"/>
      <c r="L383" s="1"/>
    </row>
    <row r="384" spans="1:12" ht="17.25" customHeight="1">
      <c r="A384" s="782" t="s">
        <v>903</v>
      </c>
      <c r="B384" s="784" t="s">
        <v>9</v>
      </c>
      <c r="C384" s="951">
        <f>CEILING((C382*0.85),0.1)</f>
        <v>63.800000000000004</v>
      </c>
      <c r="D384" s="954"/>
      <c r="E384" s="951"/>
      <c r="F384" s="954"/>
      <c r="G384" s="954"/>
      <c r="H384" s="954"/>
      <c r="I384" s="17"/>
      <c r="J384" s="17"/>
      <c r="K384" s="1"/>
      <c r="L384" s="1"/>
    </row>
    <row r="385" spans="1:12" ht="16.5" customHeight="1">
      <c r="A385" s="782" t="s">
        <v>904</v>
      </c>
      <c r="B385" s="237" t="s">
        <v>101</v>
      </c>
      <c r="C385" s="961">
        <v>0</v>
      </c>
      <c r="D385" s="962"/>
      <c r="E385" s="951"/>
      <c r="F385" s="954"/>
      <c r="G385" s="962"/>
      <c r="H385" s="962"/>
      <c r="I385" s="17"/>
      <c r="J385" s="17"/>
      <c r="K385" s="1"/>
      <c r="L385" s="1"/>
    </row>
    <row r="386" spans="1:12" ht="16.5" customHeight="1">
      <c r="A386" s="348"/>
      <c r="B386" s="237" t="s">
        <v>104</v>
      </c>
      <c r="C386" s="971">
        <f>CEILING(65*$Z$1,0.1)</f>
        <v>81.30000000000001</v>
      </c>
      <c r="D386" s="974"/>
      <c r="E386" s="947"/>
      <c r="F386" s="948"/>
      <c r="G386" s="948"/>
      <c r="H386" s="948"/>
      <c r="I386" s="17"/>
      <c r="J386" s="17"/>
      <c r="K386" s="1"/>
      <c r="L386" s="1"/>
    </row>
    <row r="387" spans="1:12" ht="16.5" customHeight="1">
      <c r="A387" s="348"/>
      <c r="B387" s="237" t="s">
        <v>105</v>
      </c>
      <c r="C387" s="955">
        <f>CEILING(81.25*$Z$1,0.1)</f>
        <v>101.60000000000001</v>
      </c>
      <c r="D387" s="960"/>
      <c r="E387" s="951"/>
      <c r="F387" s="954"/>
      <c r="G387" s="954"/>
      <c r="H387" s="954"/>
      <c r="I387" s="17"/>
      <c r="J387" s="17"/>
      <c r="K387" s="1"/>
      <c r="L387" s="1"/>
    </row>
    <row r="388" spans="1:12" ht="18.75" customHeight="1" thickBot="1">
      <c r="A388" s="205" t="s">
        <v>308</v>
      </c>
      <c r="B388" s="793" t="s">
        <v>78</v>
      </c>
      <c r="C388" s="958">
        <f>CEILING(90*$Z$1,0.1)</f>
        <v>112.5</v>
      </c>
      <c r="D388" s="1040"/>
      <c r="E388" s="947"/>
      <c r="F388" s="948"/>
      <c r="G388" s="948"/>
      <c r="H388" s="948"/>
      <c r="I388" s="17"/>
      <c r="J388" s="17"/>
      <c r="K388" s="1"/>
      <c r="L388" s="1"/>
    </row>
    <row r="389" spans="1:12" ht="18" customHeight="1" thickTop="1">
      <c r="A389" s="352" t="s">
        <v>732</v>
      </c>
      <c r="B389" s="822"/>
      <c r="C389" s="799"/>
      <c r="D389" s="799"/>
      <c r="E389" s="913"/>
      <c r="F389" s="913"/>
      <c r="G389" s="913"/>
      <c r="H389" s="913"/>
      <c r="I389" s="17"/>
      <c r="J389" s="17"/>
      <c r="K389" s="1"/>
      <c r="L389" s="1"/>
    </row>
    <row r="390" spans="1:12" ht="15.75" customHeight="1" thickBot="1">
      <c r="A390" s="53"/>
      <c r="B390" s="54"/>
      <c r="C390" s="68"/>
      <c r="D390" s="68"/>
      <c r="E390" s="914"/>
      <c r="F390" s="914"/>
      <c r="G390" s="914"/>
      <c r="H390" s="914"/>
      <c r="I390" s="52"/>
      <c r="J390" s="52"/>
      <c r="K390" s="1"/>
      <c r="L390" s="1"/>
    </row>
    <row r="391" spans="1:12" ht="25.5" customHeight="1" thickTop="1">
      <c r="A391" s="5" t="s">
        <v>4</v>
      </c>
      <c r="B391" s="11"/>
      <c r="C391" s="945" t="s">
        <v>625</v>
      </c>
      <c r="D391" s="964"/>
      <c r="E391" s="975"/>
      <c r="F391" s="976"/>
      <c r="G391" s="976"/>
      <c r="H391" s="976"/>
      <c r="I391" s="52"/>
      <c r="J391" s="52"/>
      <c r="K391" s="1"/>
      <c r="L391" s="1"/>
    </row>
    <row r="392" spans="1:12" ht="17.25" customHeight="1">
      <c r="A392" s="820" t="s">
        <v>729</v>
      </c>
      <c r="B392" s="784" t="s">
        <v>104</v>
      </c>
      <c r="C392" s="955">
        <f>CEILING(50*$Z$1,0.1)</f>
        <v>62.5</v>
      </c>
      <c r="D392" s="960"/>
      <c r="E392" s="951"/>
      <c r="F392" s="954"/>
      <c r="G392" s="954"/>
      <c r="H392" s="954"/>
      <c r="I392" s="52"/>
      <c r="J392" s="52"/>
      <c r="K392" s="1"/>
      <c r="L392" s="1"/>
    </row>
    <row r="393" spans="1:12" ht="18" customHeight="1">
      <c r="A393" s="162" t="s">
        <v>18</v>
      </c>
      <c r="B393" s="784" t="s">
        <v>105</v>
      </c>
      <c r="C393" s="955">
        <f>CEILING(62.5*$Z$1,0.1)</f>
        <v>78.2</v>
      </c>
      <c r="D393" s="960"/>
      <c r="E393" s="951"/>
      <c r="F393" s="954"/>
      <c r="G393" s="954"/>
      <c r="H393" s="954"/>
      <c r="I393" s="52"/>
      <c r="J393" s="52"/>
      <c r="K393" s="1"/>
      <c r="L393" s="1"/>
    </row>
    <row r="394" spans="1:12" ht="18" customHeight="1">
      <c r="A394" s="163" t="s">
        <v>178</v>
      </c>
      <c r="B394" s="784" t="s">
        <v>9</v>
      </c>
      <c r="C394" s="955">
        <f>CEILING((C392*0.85),0.1)</f>
        <v>53.2</v>
      </c>
      <c r="D394" s="960"/>
      <c r="E394" s="951"/>
      <c r="F394" s="954"/>
      <c r="G394" s="954"/>
      <c r="H394" s="954"/>
      <c r="I394" s="52"/>
      <c r="J394" s="52"/>
      <c r="K394" s="1"/>
      <c r="L394" s="1"/>
    </row>
    <row r="395" spans="1:12" ht="17.25" customHeight="1">
      <c r="A395" s="782" t="s">
        <v>903</v>
      </c>
      <c r="B395" s="237" t="s">
        <v>101</v>
      </c>
      <c r="C395" s="961">
        <v>0</v>
      </c>
      <c r="D395" s="962"/>
      <c r="E395" s="951"/>
      <c r="F395" s="954"/>
      <c r="G395" s="962"/>
      <c r="H395" s="962"/>
      <c r="I395" s="52"/>
      <c r="J395" s="52"/>
      <c r="K395" s="1"/>
      <c r="L395" s="1"/>
    </row>
    <row r="396" spans="1:12" ht="16.5" customHeight="1">
      <c r="A396" s="782" t="s">
        <v>904</v>
      </c>
      <c r="B396" s="208" t="s">
        <v>133</v>
      </c>
      <c r="C396" s="947">
        <f>CEILING(80*$Z$1,0.1)</f>
        <v>100</v>
      </c>
      <c r="D396" s="948"/>
      <c r="E396" s="947"/>
      <c r="F396" s="948"/>
      <c r="G396" s="948"/>
      <c r="H396" s="948"/>
      <c r="I396" s="52"/>
      <c r="J396" s="52"/>
      <c r="K396" s="1"/>
      <c r="L396" s="1"/>
    </row>
    <row r="397" spans="1:12" ht="19.5" customHeight="1" thickBot="1">
      <c r="A397" s="205" t="s">
        <v>308</v>
      </c>
      <c r="B397" s="793" t="s">
        <v>78</v>
      </c>
      <c r="C397" s="958">
        <f>CEILING(90*$Z$1,0.1)</f>
        <v>112.5</v>
      </c>
      <c r="D397" s="1040"/>
      <c r="E397" s="947"/>
      <c r="F397" s="948"/>
      <c r="G397" s="948"/>
      <c r="H397" s="948"/>
      <c r="I397" s="52"/>
      <c r="J397" s="52"/>
      <c r="K397" s="1"/>
      <c r="L397" s="1"/>
    </row>
    <row r="398" spans="1:12" ht="15.75" customHeight="1" thickTop="1">
      <c r="A398" s="352" t="s">
        <v>733</v>
      </c>
      <c r="B398" s="822"/>
      <c r="C398" s="765"/>
      <c r="D398" s="765"/>
      <c r="E398" s="765"/>
      <c r="F398" s="765"/>
      <c r="G398" s="765"/>
      <c r="H398" s="765"/>
      <c r="I398" s="52"/>
      <c r="J398" s="52"/>
      <c r="K398" s="1"/>
      <c r="L398" s="1"/>
    </row>
    <row r="399" spans="1:12" ht="22.5" customHeight="1" thickBot="1">
      <c r="A399" s="53"/>
      <c r="B399" s="100"/>
      <c r="C399" s="68"/>
      <c r="D399" s="68"/>
      <c r="E399" s="68"/>
      <c r="F399" s="68"/>
      <c r="G399" s="68"/>
      <c r="H399" s="68"/>
      <c r="I399" s="52"/>
      <c r="J399" s="52"/>
      <c r="K399" s="1"/>
      <c r="L399" s="1"/>
    </row>
    <row r="400" spans="1:12" ht="25.5" customHeight="1" thickTop="1">
      <c r="A400" s="5" t="s">
        <v>4</v>
      </c>
      <c r="B400" s="57"/>
      <c r="C400" s="945" t="s">
        <v>592</v>
      </c>
      <c r="D400" s="946"/>
      <c r="E400" s="945" t="s">
        <v>593</v>
      </c>
      <c r="F400" s="946"/>
      <c r="G400" s="945" t="s">
        <v>594</v>
      </c>
      <c r="H400" s="964"/>
      <c r="I400" s="288"/>
      <c r="J400" s="25"/>
      <c r="K400" s="25"/>
      <c r="L400" s="25"/>
    </row>
    <row r="401" spans="1:12" ht="17.25" customHeight="1">
      <c r="A401" s="200" t="s">
        <v>61</v>
      </c>
      <c r="B401" s="321" t="s">
        <v>11</v>
      </c>
      <c r="C401" s="951">
        <f>CEILING(55*$Z$1,0.1)</f>
        <v>68.8</v>
      </c>
      <c r="D401" s="954"/>
      <c r="E401" s="951">
        <f>CEILING(60*$Z$1,0.1)</f>
        <v>75</v>
      </c>
      <c r="F401" s="954"/>
      <c r="G401" s="951">
        <f>CEILING(55*$Z$1,0.1)</f>
        <v>68.8</v>
      </c>
      <c r="H401" s="954"/>
      <c r="I401" s="6"/>
      <c r="J401" s="1"/>
      <c r="K401" s="1"/>
      <c r="L401" s="1"/>
    </row>
    <row r="402" spans="1:12" ht="17.25" customHeight="1">
      <c r="A402" s="21" t="s">
        <v>18</v>
      </c>
      <c r="B402" s="337" t="s">
        <v>7</v>
      </c>
      <c r="C402" s="951">
        <f>CEILING(90*$Z$1,0.1)</f>
        <v>112.5</v>
      </c>
      <c r="D402" s="952"/>
      <c r="E402" s="951">
        <f>CEILING(100*$Z$1,0.1)</f>
        <v>125</v>
      </c>
      <c r="F402" s="952"/>
      <c r="G402" s="951">
        <f>CEILING(90*$Z$1,0.1)</f>
        <v>112.5</v>
      </c>
      <c r="H402" s="952"/>
      <c r="I402" s="1"/>
      <c r="J402" s="1"/>
      <c r="K402" s="1"/>
      <c r="L402" s="1"/>
    </row>
    <row r="403" spans="1:12" ht="16.5" customHeight="1">
      <c r="A403" s="259"/>
      <c r="B403" s="337" t="s">
        <v>9</v>
      </c>
      <c r="C403" s="951">
        <f>CEILING((C401*0.85),0.1)</f>
        <v>58.5</v>
      </c>
      <c r="D403" s="952"/>
      <c r="E403" s="951">
        <f>CEILING((E401*0.85),0.1)</f>
        <v>63.800000000000004</v>
      </c>
      <c r="F403" s="952"/>
      <c r="G403" s="951">
        <f>CEILING((G401*0.85),0.1)</f>
        <v>58.5</v>
      </c>
      <c r="H403" s="952"/>
      <c r="I403" s="1"/>
      <c r="J403" s="1"/>
      <c r="K403" s="7"/>
      <c r="L403" s="7"/>
    </row>
    <row r="404" spans="1:12" ht="17.25" customHeight="1">
      <c r="A404" s="348"/>
      <c r="B404" s="447" t="s">
        <v>384</v>
      </c>
      <c r="C404" s="961">
        <v>0</v>
      </c>
      <c r="D404" s="980"/>
      <c r="E404" s="961">
        <v>0</v>
      </c>
      <c r="F404" s="980"/>
      <c r="G404" s="961">
        <v>0</v>
      </c>
      <c r="H404" s="980"/>
      <c r="I404" s="1"/>
      <c r="J404" s="1"/>
      <c r="K404" s="7"/>
      <c r="L404" s="7"/>
    </row>
    <row r="405" spans="1:12" ht="15.75" customHeight="1">
      <c r="A405" s="348"/>
      <c r="B405" s="488" t="s">
        <v>14</v>
      </c>
      <c r="C405" s="951">
        <f>CEILING(90*$Z$1,0.1)</f>
        <v>112.5</v>
      </c>
      <c r="D405" s="952"/>
      <c r="E405" s="951">
        <f>CEILING(100*$Z$1,0.1)</f>
        <v>125</v>
      </c>
      <c r="F405" s="952"/>
      <c r="G405" s="951">
        <f>CEILING(90*$Z$1,0.1)</f>
        <v>112.5</v>
      </c>
      <c r="H405" s="952"/>
      <c r="I405" s="1"/>
      <c r="J405" s="1"/>
      <c r="K405" s="7"/>
      <c r="L405" s="7"/>
    </row>
    <row r="406" spans="1:12" ht="16.5" customHeight="1" thickBot="1">
      <c r="A406" s="201" t="s">
        <v>202</v>
      </c>
      <c r="B406" s="625" t="s">
        <v>261</v>
      </c>
      <c r="C406" s="967">
        <f>CEILING(125*$Z$1,0.1)</f>
        <v>156.3</v>
      </c>
      <c r="D406" s="973"/>
      <c r="E406" s="967">
        <f>CEILING(140*$Z$1,0.1)</f>
        <v>175</v>
      </c>
      <c r="F406" s="973"/>
      <c r="G406" s="967">
        <f>CEILING(125*$Z$1,0.1)</f>
        <v>156.3</v>
      </c>
      <c r="H406" s="973"/>
      <c r="I406" s="1"/>
      <c r="J406" s="1"/>
      <c r="K406" s="7"/>
      <c r="L406" s="7"/>
    </row>
    <row r="407" spans="1:12" ht="16.5" customHeight="1" thickTop="1">
      <c r="A407" s="871" t="s">
        <v>812</v>
      </c>
      <c r="B407" s="343"/>
      <c r="C407" s="845"/>
      <c r="D407" s="845"/>
      <c r="E407" s="845"/>
      <c r="F407" s="845"/>
      <c r="G407" s="845"/>
      <c r="H407" s="845"/>
      <c r="I407" s="1"/>
      <c r="J407" s="1"/>
      <c r="K407" s="7"/>
      <c r="L407" s="7"/>
    </row>
    <row r="408" spans="1:12" ht="18.75" customHeight="1" thickBot="1">
      <c r="A408" s="10"/>
      <c r="B408" s="10"/>
      <c r="C408" s="10"/>
      <c r="D408" s="10"/>
      <c r="E408" s="10"/>
      <c r="F408" s="10"/>
      <c r="G408" s="10"/>
      <c r="H408" s="10"/>
      <c r="I408" s="7"/>
      <c r="J408" s="7"/>
      <c r="K408" s="7"/>
      <c r="L408" s="7"/>
    </row>
    <row r="409" spans="1:12" ht="21" customHeight="1" thickTop="1">
      <c r="A409" s="5" t="s">
        <v>4</v>
      </c>
      <c r="B409" s="57"/>
      <c r="C409" s="945" t="s">
        <v>592</v>
      </c>
      <c r="D409" s="946"/>
      <c r="E409" s="945" t="s">
        <v>593</v>
      </c>
      <c r="F409" s="946"/>
      <c r="G409" s="945" t="s">
        <v>594</v>
      </c>
      <c r="H409" s="964"/>
      <c r="I409" s="288"/>
      <c r="J409" s="25"/>
      <c r="K409" s="12"/>
      <c r="L409" s="12"/>
    </row>
    <row r="410" spans="1:12" ht="17.25" customHeight="1">
      <c r="A410" s="200" t="s">
        <v>21</v>
      </c>
      <c r="B410" s="321" t="s">
        <v>11</v>
      </c>
      <c r="C410" s="951">
        <f>CEILING(52*$Z$1,0.1)</f>
        <v>65</v>
      </c>
      <c r="D410" s="954"/>
      <c r="E410" s="951">
        <f>CEILING(56*$Z$1,0.1)</f>
        <v>70</v>
      </c>
      <c r="F410" s="954"/>
      <c r="G410" s="951">
        <f>CEILING(51*$Z$1,0.1)</f>
        <v>63.800000000000004</v>
      </c>
      <c r="H410" s="954"/>
      <c r="I410" s="6"/>
      <c r="J410" s="1"/>
      <c r="K410" s="1"/>
      <c r="L410" s="1"/>
    </row>
    <row r="411" spans="1:12" ht="18" customHeight="1">
      <c r="A411" s="21" t="s">
        <v>18</v>
      </c>
      <c r="B411" s="337" t="s">
        <v>7</v>
      </c>
      <c r="C411" s="951">
        <f>CEILING(82*$Z$1,0.1)</f>
        <v>102.5</v>
      </c>
      <c r="D411" s="952"/>
      <c r="E411" s="951">
        <f>CEILING(91*$Z$1,0.1)</f>
        <v>113.80000000000001</v>
      </c>
      <c r="F411" s="952"/>
      <c r="G411" s="951">
        <f>CEILING(81*$Z$1,0.1)</f>
        <v>101.30000000000001</v>
      </c>
      <c r="H411" s="952"/>
      <c r="I411" s="1"/>
      <c r="J411" s="1"/>
      <c r="K411" s="1"/>
      <c r="L411" s="1"/>
    </row>
    <row r="412" spans="1:12" ht="20.25" customHeight="1" thickBot="1">
      <c r="A412" s="201" t="s">
        <v>202</v>
      </c>
      <c r="B412" s="338" t="s">
        <v>9</v>
      </c>
      <c r="C412" s="967">
        <f>CEILING((C410*0.85),0.1)</f>
        <v>55.300000000000004</v>
      </c>
      <c r="D412" s="973"/>
      <c r="E412" s="967">
        <f>CEILING((E410*0.85),0.1)</f>
        <v>59.5</v>
      </c>
      <c r="F412" s="973"/>
      <c r="G412" s="967">
        <f>CEILING((G410*0.85),0.1)</f>
        <v>54.300000000000004</v>
      </c>
      <c r="H412" s="973"/>
      <c r="I412" s="6"/>
      <c r="J412" s="7"/>
      <c r="K412" s="7"/>
      <c r="L412" s="7"/>
    </row>
    <row r="413" spans="1:12" ht="15" thickTop="1">
      <c r="A413" s="1138" t="s">
        <v>262</v>
      </c>
      <c r="B413" s="1139"/>
      <c r="C413" s="1038"/>
      <c r="D413" s="1038"/>
      <c r="E413" s="1038"/>
      <c r="F413" s="1038"/>
      <c r="G413" s="1038"/>
      <c r="H413" s="1038"/>
      <c r="I413" s="1038"/>
      <c r="J413" s="1038"/>
      <c r="K413" s="7"/>
      <c r="L413" s="7"/>
    </row>
    <row r="414" spans="1:12" ht="18" customHeight="1" thickBot="1">
      <c r="A414" s="60"/>
      <c r="B414" s="60"/>
      <c r="C414" s="60"/>
      <c r="D414" s="60"/>
      <c r="E414" s="60"/>
      <c r="F414" s="60"/>
      <c r="G414" s="60"/>
      <c r="H414" s="60"/>
      <c r="I414" s="1"/>
      <c r="J414" s="1"/>
      <c r="K414" s="7"/>
      <c r="L414" s="7"/>
    </row>
    <row r="415" spans="1:12" ht="24" customHeight="1" thickTop="1">
      <c r="A415" s="697" t="s">
        <v>4</v>
      </c>
      <c r="B415" s="11"/>
      <c r="C415" s="945" t="s">
        <v>816</v>
      </c>
      <c r="D415" s="946"/>
      <c r="E415" s="945" t="s">
        <v>817</v>
      </c>
      <c r="F415" s="946"/>
      <c r="G415" s="945" t="s">
        <v>818</v>
      </c>
      <c r="H415" s="946"/>
      <c r="I415" s="7"/>
      <c r="J415" s="7"/>
      <c r="K415" s="1"/>
      <c r="L415" s="1"/>
    </row>
    <row r="416" spans="1:12" ht="18" customHeight="1">
      <c r="A416" s="680" t="s">
        <v>529</v>
      </c>
      <c r="B416" s="626" t="s">
        <v>145</v>
      </c>
      <c r="C416" s="981">
        <f>CEILING(49*$Z$1,0.1)</f>
        <v>61.300000000000004</v>
      </c>
      <c r="D416" s="982"/>
      <c r="E416" s="981">
        <f>CEILING(51*$Z$1,0.1)</f>
        <v>63.800000000000004</v>
      </c>
      <c r="F416" s="982"/>
      <c r="G416" s="981">
        <f>CEILING(49*$Z$1,0.1)</f>
        <v>61.300000000000004</v>
      </c>
      <c r="H416" s="982"/>
      <c r="I416" s="6"/>
      <c r="J416" s="7"/>
      <c r="K416" s="1"/>
      <c r="L416" s="1"/>
    </row>
    <row r="417" spans="1:12" ht="16.5" customHeight="1">
      <c r="A417" s="651" t="s">
        <v>18</v>
      </c>
      <c r="B417" s="626" t="s">
        <v>819</v>
      </c>
      <c r="C417" s="951">
        <f>CEILING(69*$Z$1,0.1)</f>
        <v>86.30000000000001</v>
      </c>
      <c r="D417" s="952"/>
      <c r="E417" s="951">
        <f>CEILING(71*$Z$1,0.1)</f>
        <v>88.80000000000001</v>
      </c>
      <c r="F417" s="952"/>
      <c r="G417" s="951">
        <f>CEILING(69*$Z$1,0.1)</f>
        <v>86.30000000000001</v>
      </c>
      <c r="H417" s="952"/>
      <c r="I417" s="7"/>
      <c r="J417" s="7"/>
      <c r="K417" s="1"/>
      <c r="L417" s="1"/>
    </row>
    <row r="418" spans="1:12" ht="18" customHeight="1">
      <c r="A418" s="651" t="s">
        <v>530</v>
      </c>
      <c r="B418" s="568" t="s">
        <v>9</v>
      </c>
      <c r="C418" s="951">
        <f>CEILING((C416*0.85),0.1)</f>
        <v>52.2</v>
      </c>
      <c r="D418" s="952"/>
      <c r="E418" s="951">
        <f>CEILING((E416*0.85),0.1)</f>
        <v>54.300000000000004</v>
      </c>
      <c r="F418" s="952"/>
      <c r="G418" s="951">
        <f>CEILING((G416*0.85),0.1)</f>
        <v>52.2</v>
      </c>
      <c r="H418" s="952"/>
      <c r="I418" s="7"/>
      <c r="J418" s="7"/>
      <c r="K418" s="1"/>
      <c r="L418" s="1"/>
    </row>
    <row r="419" spans="1:12" ht="18" customHeight="1">
      <c r="A419" s="651"/>
      <c r="B419" s="873" t="s">
        <v>101</v>
      </c>
      <c r="C419" s="951">
        <f>CEILING((C416*0.5),0.1)</f>
        <v>30.700000000000003</v>
      </c>
      <c r="D419" s="952"/>
      <c r="E419" s="951">
        <f>CEILING((E416*0.5),0.1)</f>
        <v>31.900000000000002</v>
      </c>
      <c r="F419" s="952"/>
      <c r="G419" s="951">
        <f>CEILING((G416*0.5),0.1)</f>
        <v>30.700000000000003</v>
      </c>
      <c r="H419" s="952"/>
      <c r="I419" s="7"/>
      <c r="J419" s="7"/>
      <c r="K419" s="1"/>
      <c r="L419" s="1"/>
    </row>
    <row r="420" spans="1:12" ht="15">
      <c r="A420" s="680"/>
      <c r="B420" s="626" t="s">
        <v>820</v>
      </c>
      <c r="C420" s="981">
        <f>CEILING(52*$Z$1,0.1)</f>
        <v>65</v>
      </c>
      <c r="D420" s="982"/>
      <c r="E420" s="981">
        <f>CEILING(54*$Z$1,0.1)</f>
        <v>67.5</v>
      </c>
      <c r="F420" s="982"/>
      <c r="G420" s="981">
        <f>CEILING(52*$Z$1,0.1)</f>
        <v>65</v>
      </c>
      <c r="H420" s="982"/>
      <c r="I420" s="6"/>
      <c r="J420" s="7"/>
      <c r="K420" s="1"/>
      <c r="L420" s="1"/>
    </row>
    <row r="421" spans="1:12" ht="15">
      <c r="A421" s="651"/>
      <c r="B421" s="626" t="s">
        <v>821</v>
      </c>
      <c r="C421" s="951">
        <f>CEILING(72*$Z$1,0.1)</f>
        <v>90</v>
      </c>
      <c r="D421" s="952"/>
      <c r="E421" s="951">
        <f>CEILING(74*$Z$1,0.1)</f>
        <v>92.5</v>
      </c>
      <c r="F421" s="952"/>
      <c r="G421" s="951">
        <f>CEILING(72*$Z$1,0.1)</f>
        <v>90</v>
      </c>
      <c r="H421" s="952"/>
      <c r="I421" s="7"/>
      <c r="J421" s="7"/>
      <c r="K421" s="1"/>
      <c r="L421" s="1"/>
    </row>
    <row r="422" spans="1:12" ht="15">
      <c r="A422" s="651"/>
      <c r="B422" s="568" t="s">
        <v>9</v>
      </c>
      <c r="C422" s="951">
        <f>CEILING((C420*0.85),0.1)</f>
        <v>55.300000000000004</v>
      </c>
      <c r="D422" s="952"/>
      <c r="E422" s="951">
        <f>CEILING((E420*0.85),0.1)</f>
        <v>57.400000000000006</v>
      </c>
      <c r="F422" s="952"/>
      <c r="G422" s="951">
        <f>CEILING((G420*0.85),0.1)</f>
        <v>55.300000000000004</v>
      </c>
      <c r="H422" s="952"/>
      <c r="I422" s="7"/>
      <c r="J422" s="7"/>
      <c r="K422" s="1"/>
      <c r="L422" s="1"/>
    </row>
    <row r="423" spans="1:12" ht="15" thickBot="1">
      <c r="A423" s="872" t="s">
        <v>815</v>
      </c>
      <c r="B423" s="701" t="s">
        <v>101</v>
      </c>
      <c r="C423" s="967">
        <f>CEILING((C420*0.5),0.1)</f>
        <v>32.5</v>
      </c>
      <c r="D423" s="973"/>
      <c r="E423" s="967">
        <f>CEILING((E420*0.5),0.1)</f>
        <v>33.800000000000004</v>
      </c>
      <c r="F423" s="973"/>
      <c r="G423" s="967">
        <f>CEILING((G420*0.5),0.1)</f>
        <v>32.5</v>
      </c>
      <c r="H423" s="973"/>
      <c r="I423" s="7"/>
      <c r="J423" s="7"/>
      <c r="K423" s="1"/>
      <c r="L423" s="1"/>
    </row>
    <row r="424" spans="1:12" ht="15.75" thickBot="1" thickTop="1">
      <c r="A424" s="805"/>
      <c r="B424" s="714"/>
      <c r="C424" s="806"/>
      <c r="D424" s="806"/>
      <c r="E424" s="806"/>
      <c r="F424" s="806"/>
      <c r="G424" s="806"/>
      <c r="H424" s="806"/>
      <c r="I424" s="7"/>
      <c r="J424" s="7"/>
      <c r="K424" s="1"/>
      <c r="L424" s="1"/>
    </row>
    <row r="425" spans="1:12" ht="22.5" customHeight="1" thickTop="1">
      <c r="A425" s="855" t="s">
        <v>4</v>
      </c>
      <c r="B425" s="11"/>
      <c r="C425" s="945" t="s">
        <v>816</v>
      </c>
      <c r="D425" s="946"/>
      <c r="E425" s="945" t="s">
        <v>817</v>
      </c>
      <c r="F425" s="946"/>
      <c r="G425" s="945" t="s">
        <v>818</v>
      </c>
      <c r="H425" s="946"/>
      <c r="I425" s="7"/>
      <c r="J425" s="7"/>
      <c r="K425" s="1"/>
      <c r="L425" s="1"/>
    </row>
    <row r="426" spans="1:12" ht="15">
      <c r="A426" s="206" t="s">
        <v>813</v>
      </c>
      <c r="B426" s="568" t="s">
        <v>11</v>
      </c>
      <c r="C426" s="981">
        <f>CEILING(55*$Z$1,0.1)</f>
        <v>68.8</v>
      </c>
      <c r="D426" s="982"/>
      <c r="E426" s="981">
        <f>CEILING(57*$Z$1,0.1)</f>
        <v>71.3</v>
      </c>
      <c r="F426" s="982"/>
      <c r="G426" s="981">
        <f>CEILING(55*$Z$1,0.1)</f>
        <v>68.8</v>
      </c>
      <c r="H426" s="982"/>
      <c r="I426" s="6"/>
      <c r="J426" s="7"/>
      <c r="K426" s="1"/>
      <c r="L426" s="1"/>
    </row>
    <row r="427" spans="1:12" ht="15">
      <c r="A427" s="651" t="s">
        <v>18</v>
      </c>
      <c r="B427" s="568" t="s">
        <v>7</v>
      </c>
      <c r="C427" s="951">
        <f>CEILING(75*$Z$1,0.1)</f>
        <v>93.80000000000001</v>
      </c>
      <c r="D427" s="952"/>
      <c r="E427" s="951">
        <f>CEILING(77*$Z$1,0.1)</f>
        <v>96.30000000000001</v>
      </c>
      <c r="F427" s="952"/>
      <c r="G427" s="951">
        <f>CEILING(75*$Z$1,0.1)</f>
        <v>93.80000000000001</v>
      </c>
      <c r="H427" s="952"/>
      <c r="I427" s="7"/>
      <c r="J427" s="7"/>
      <c r="K427" s="1"/>
      <c r="L427" s="1"/>
    </row>
    <row r="428" spans="1:12" ht="15">
      <c r="A428" s="651"/>
      <c r="B428" s="568" t="s">
        <v>9</v>
      </c>
      <c r="C428" s="951">
        <f>CEILING((C426*0.85),0.1)</f>
        <v>58.5</v>
      </c>
      <c r="D428" s="952"/>
      <c r="E428" s="951">
        <f>CEILING((E426*0.85),0.1)</f>
        <v>60.7</v>
      </c>
      <c r="F428" s="952"/>
      <c r="G428" s="951">
        <f>CEILING((G426*0.85),0.1)</f>
        <v>58.5</v>
      </c>
      <c r="H428" s="952"/>
      <c r="I428" s="7"/>
      <c r="J428" s="7"/>
      <c r="K428" s="1"/>
      <c r="L428" s="1"/>
    </row>
    <row r="429" spans="1:12" ht="15" thickBot="1">
      <c r="A429" s="872" t="s">
        <v>815</v>
      </c>
      <c r="B429" s="574" t="s">
        <v>101</v>
      </c>
      <c r="C429" s="967">
        <f>CEILING((C426*0.5),0.1)</f>
        <v>34.4</v>
      </c>
      <c r="D429" s="973"/>
      <c r="E429" s="967">
        <f>CEILING((E426*0.5),0.1)</f>
        <v>35.7</v>
      </c>
      <c r="F429" s="973"/>
      <c r="G429" s="967">
        <f>CEILING((G426*0.5),0.1)</f>
        <v>34.4</v>
      </c>
      <c r="H429" s="973"/>
      <c r="I429" s="7"/>
      <c r="J429" s="7"/>
      <c r="K429" s="1"/>
      <c r="L429" s="1"/>
    </row>
    <row r="430" spans="1:12" ht="21" customHeight="1" thickBot="1" thickTop="1">
      <c r="A430" s="805"/>
      <c r="B430" s="714"/>
      <c r="C430" s="806"/>
      <c r="D430" s="806"/>
      <c r="E430" s="806"/>
      <c r="F430" s="806"/>
      <c r="G430" s="806"/>
      <c r="H430" s="806"/>
      <c r="I430" s="7"/>
      <c r="J430" s="7"/>
      <c r="K430" s="1"/>
      <c r="L430" s="1"/>
    </row>
    <row r="431" spans="1:12" ht="24" customHeight="1" thickTop="1">
      <c r="A431" s="855" t="s">
        <v>4</v>
      </c>
      <c r="B431" s="11"/>
      <c r="C431" s="945" t="s">
        <v>816</v>
      </c>
      <c r="D431" s="946"/>
      <c r="E431" s="945" t="s">
        <v>817</v>
      </c>
      <c r="F431" s="946"/>
      <c r="G431" s="945" t="s">
        <v>818</v>
      </c>
      <c r="H431" s="946"/>
      <c r="I431" s="7"/>
      <c r="J431" s="7"/>
      <c r="K431" s="1"/>
      <c r="L431" s="1"/>
    </row>
    <row r="432" spans="1:12" ht="15">
      <c r="A432" s="680" t="s">
        <v>814</v>
      </c>
      <c r="B432" s="568" t="s">
        <v>11</v>
      </c>
      <c r="C432" s="981">
        <f>CEILING(60*$Z$1,0.1)</f>
        <v>75</v>
      </c>
      <c r="D432" s="982"/>
      <c r="E432" s="981">
        <f>CEILING(62*$Z$1,0.1)</f>
        <v>77.5</v>
      </c>
      <c r="F432" s="982"/>
      <c r="G432" s="981">
        <f>CEILING(60*$Z$1,0.1)</f>
        <v>75</v>
      </c>
      <c r="H432" s="982"/>
      <c r="I432" s="6"/>
      <c r="J432" s="7"/>
      <c r="K432" s="1"/>
      <c r="L432" s="1"/>
    </row>
    <row r="433" spans="1:12" ht="15">
      <c r="A433" s="651" t="s">
        <v>18</v>
      </c>
      <c r="B433" s="568" t="s">
        <v>7</v>
      </c>
      <c r="C433" s="951">
        <f>CEILING(80*$Z$1,0.1)</f>
        <v>100</v>
      </c>
      <c r="D433" s="952"/>
      <c r="E433" s="951">
        <f>CEILING(82*$Z$1,0.1)</f>
        <v>102.5</v>
      </c>
      <c r="F433" s="952"/>
      <c r="G433" s="951">
        <f>CEILING(80*$Z$1,0.1)</f>
        <v>100</v>
      </c>
      <c r="H433" s="952"/>
      <c r="I433" s="7"/>
      <c r="J433" s="7"/>
      <c r="K433" s="1"/>
      <c r="L433" s="1"/>
    </row>
    <row r="434" spans="1:12" ht="15">
      <c r="A434" s="651"/>
      <c r="B434" s="568" t="s">
        <v>9</v>
      </c>
      <c r="C434" s="951">
        <f>CEILING((C432*0.85),0.1)</f>
        <v>63.800000000000004</v>
      </c>
      <c r="D434" s="952"/>
      <c r="E434" s="951">
        <f>CEILING((E432*0.85),0.1)</f>
        <v>65.9</v>
      </c>
      <c r="F434" s="952"/>
      <c r="G434" s="951">
        <f>CEILING((G432*0.85),0.1)</f>
        <v>63.800000000000004</v>
      </c>
      <c r="H434" s="952"/>
      <c r="I434" s="7"/>
      <c r="J434" s="7"/>
      <c r="K434" s="1"/>
      <c r="L434" s="1"/>
    </row>
    <row r="435" spans="1:12" ht="15" thickBot="1">
      <c r="A435" s="872" t="s">
        <v>815</v>
      </c>
      <c r="B435" s="574" t="s">
        <v>101</v>
      </c>
      <c r="C435" s="967">
        <f>CEILING((C432*0.5),0.1)</f>
        <v>37.5</v>
      </c>
      <c r="D435" s="973"/>
      <c r="E435" s="967">
        <f>CEILING((E432*0.5),0.1)</f>
        <v>38.800000000000004</v>
      </c>
      <c r="F435" s="973"/>
      <c r="G435" s="967">
        <f>CEILING((G432*0.5),0.1)</f>
        <v>37.5</v>
      </c>
      <c r="H435" s="973"/>
      <c r="I435" s="7"/>
      <c r="J435" s="7"/>
      <c r="K435" s="1"/>
      <c r="L435" s="1"/>
    </row>
    <row r="436" spans="1:12" ht="19.5" customHeight="1" thickBot="1" thickTop="1">
      <c r="A436" s="805"/>
      <c r="B436" s="714"/>
      <c r="C436" s="806"/>
      <c r="D436" s="806"/>
      <c r="E436" s="806"/>
      <c r="F436" s="806"/>
      <c r="G436" s="806"/>
      <c r="H436" s="806"/>
      <c r="I436" s="7"/>
      <c r="J436" s="7"/>
      <c r="K436" s="1"/>
      <c r="L436" s="1"/>
    </row>
    <row r="437" spans="1:12" ht="21.75" customHeight="1" thickTop="1">
      <c r="A437" s="773" t="s">
        <v>4</v>
      </c>
      <c r="B437" s="57"/>
      <c r="C437" s="945" t="s">
        <v>592</v>
      </c>
      <c r="D437" s="946"/>
      <c r="E437" s="945" t="s">
        <v>593</v>
      </c>
      <c r="F437" s="946"/>
      <c r="G437" s="945" t="s">
        <v>594</v>
      </c>
      <c r="H437" s="964"/>
      <c r="I437" s="6"/>
      <c r="J437" s="7"/>
      <c r="K437" s="1"/>
      <c r="L437" s="1"/>
    </row>
    <row r="438" spans="1:12" ht="15">
      <c r="A438" s="206" t="s">
        <v>684</v>
      </c>
      <c r="B438" s="161" t="s">
        <v>11</v>
      </c>
      <c r="C438" s="951">
        <f>CEILING(53*$Z$1,0.1)</f>
        <v>66.3</v>
      </c>
      <c r="D438" s="954"/>
      <c r="E438" s="951">
        <f>CEILING(69*$Z$1,0.1)</f>
        <v>86.30000000000001</v>
      </c>
      <c r="F438" s="954"/>
      <c r="G438" s="951">
        <f>CEILING(53*$Z$1,0.1)</f>
        <v>66.3</v>
      </c>
      <c r="H438" s="954"/>
      <c r="I438" s="6"/>
      <c r="J438" s="7"/>
      <c r="K438" s="1"/>
      <c r="L438" s="1"/>
    </row>
    <row r="439" spans="1:12" ht="14.25">
      <c r="A439" s="571"/>
      <c r="B439" s="161" t="s">
        <v>7</v>
      </c>
      <c r="C439" s="951">
        <f>CEILING((C438+29*$Z$1),0.1)</f>
        <v>102.60000000000001</v>
      </c>
      <c r="D439" s="952"/>
      <c r="E439" s="951">
        <f>CEILING((E438+29*$Z$1),0.1)</f>
        <v>122.60000000000001</v>
      </c>
      <c r="F439" s="952"/>
      <c r="G439" s="951">
        <f>CEILING((G438+29*$Z$1),0.1)</f>
        <v>102.60000000000001</v>
      </c>
      <c r="H439" s="952"/>
      <c r="I439" s="7"/>
      <c r="J439" s="7"/>
      <c r="K439" s="1"/>
      <c r="L439" s="1"/>
    </row>
    <row r="440" spans="1:12" ht="14.25">
      <c r="A440" s="807"/>
      <c r="B440" s="161" t="s">
        <v>9</v>
      </c>
      <c r="C440" s="951">
        <f>CEILING((C438*0.85),0.1)</f>
        <v>56.400000000000006</v>
      </c>
      <c r="D440" s="952"/>
      <c r="E440" s="951">
        <f>CEILING((E438*0.85),0.1)</f>
        <v>73.4</v>
      </c>
      <c r="F440" s="952"/>
      <c r="G440" s="951">
        <f>CEILING((G438*0.85),0.1)</f>
        <v>56.400000000000006</v>
      </c>
      <c r="H440" s="952"/>
      <c r="I440" s="7"/>
      <c r="J440" s="7"/>
      <c r="K440" s="1"/>
      <c r="L440" s="1"/>
    </row>
    <row r="441" spans="1:12" ht="15" thickBot="1">
      <c r="A441" s="808" t="s">
        <v>734</v>
      </c>
      <c r="B441" s="353" t="s">
        <v>685</v>
      </c>
      <c r="C441" s="1022">
        <v>0</v>
      </c>
      <c r="D441" s="1023"/>
      <c r="E441" s="1022">
        <v>0</v>
      </c>
      <c r="F441" s="1023"/>
      <c r="G441" s="1022">
        <v>0</v>
      </c>
      <c r="H441" s="1023"/>
      <c r="I441" s="7"/>
      <c r="J441" s="7"/>
      <c r="K441" s="1"/>
      <c r="L441" s="1"/>
    </row>
    <row r="442" spans="1:12" ht="18.75" customHeight="1" thickBot="1" thickTop="1">
      <c r="A442" s="10"/>
      <c r="B442" s="10"/>
      <c r="C442" s="59"/>
      <c r="D442" s="33"/>
      <c r="E442" s="59"/>
      <c r="F442" s="33"/>
      <c r="G442" s="98"/>
      <c r="H442" s="98"/>
      <c r="I442" s="7"/>
      <c r="J442" s="7"/>
      <c r="K442" s="1"/>
      <c r="L442" s="1"/>
    </row>
    <row r="443" spans="1:12" ht="23.25" customHeight="1" thickTop="1">
      <c r="A443" s="698" t="s">
        <v>4</v>
      </c>
      <c r="B443" s="692"/>
      <c r="C443" s="945" t="s">
        <v>907</v>
      </c>
      <c r="D443" s="946"/>
      <c r="E443" s="945" t="s">
        <v>594</v>
      </c>
      <c r="F443" s="964"/>
      <c r="G443" s="975"/>
      <c r="H443" s="976"/>
      <c r="I443" s="7"/>
      <c r="J443" s="1"/>
      <c r="K443" s="7"/>
      <c r="L443" s="7"/>
    </row>
    <row r="444" spans="1:12" ht="16.5" customHeight="1">
      <c r="A444" s="680" t="s">
        <v>905</v>
      </c>
      <c r="B444" s="521" t="s">
        <v>11</v>
      </c>
      <c r="C444" s="955">
        <f>CEILING(40*$Z$1,0.1)</f>
        <v>50</v>
      </c>
      <c r="D444" s="960"/>
      <c r="E444" s="951">
        <f>CEILING(40*$Z$1,0.1)</f>
        <v>50</v>
      </c>
      <c r="F444" s="954"/>
      <c r="G444" s="951"/>
      <c r="H444" s="954"/>
      <c r="I444" s="7"/>
      <c r="J444" s="1"/>
      <c r="K444" s="7"/>
      <c r="L444" s="7"/>
    </row>
    <row r="445" spans="1:12" ht="15" customHeight="1">
      <c r="A445" s="691" t="s">
        <v>58</v>
      </c>
      <c r="B445" s="521" t="s">
        <v>7</v>
      </c>
      <c r="C445" s="955">
        <f>CEILING(50*$Z$1,0.1)</f>
        <v>62.5</v>
      </c>
      <c r="D445" s="956"/>
      <c r="E445" s="951">
        <f>CEILING((E444+17*$Z$1),0.1)</f>
        <v>71.3</v>
      </c>
      <c r="F445" s="954"/>
      <c r="G445" s="951"/>
      <c r="H445" s="954"/>
      <c r="I445" s="1"/>
      <c r="J445" s="1"/>
      <c r="K445" s="7"/>
      <c r="L445" s="7"/>
    </row>
    <row r="446" spans="1:12" ht="15" customHeight="1">
      <c r="A446" s="782" t="s">
        <v>904</v>
      </c>
      <c r="B446" s="521" t="s">
        <v>9</v>
      </c>
      <c r="C446" s="955">
        <f>CEILING((C444*0.85),0.1)</f>
        <v>42.5</v>
      </c>
      <c r="D446" s="956"/>
      <c r="E446" s="951">
        <f>CEILING((E444*0.85),0.1)</f>
        <v>42.5</v>
      </c>
      <c r="F446" s="954"/>
      <c r="G446" s="951"/>
      <c r="H446" s="954"/>
      <c r="I446" s="1"/>
      <c r="J446" s="1"/>
      <c r="K446" s="7"/>
      <c r="L446" s="7"/>
    </row>
    <row r="447" spans="1:12" ht="15.75" customHeight="1" thickBot="1">
      <c r="A447" s="636" t="s">
        <v>906</v>
      </c>
      <c r="B447" s="701" t="s">
        <v>685</v>
      </c>
      <c r="C447" s="1022">
        <v>0</v>
      </c>
      <c r="D447" s="1023"/>
      <c r="E447" s="1022">
        <v>0</v>
      </c>
      <c r="F447" s="1137"/>
      <c r="G447" s="961"/>
      <c r="H447" s="962"/>
      <c r="I447" s="1"/>
      <c r="J447" s="1"/>
      <c r="K447" s="7"/>
      <c r="L447" s="7"/>
    </row>
    <row r="448" spans="1:12" ht="22.5" customHeight="1" thickBot="1" thickTop="1">
      <c r="A448" s="448"/>
      <c r="B448" s="449"/>
      <c r="C448" s="436"/>
      <c r="D448" s="436"/>
      <c r="E448" s="436"/>
      <c r="F448" s="436"/>
      <c r="G448" s="68"/>
      <c r="H448" s="68"/>
      <c r="I448" s="1"/>
      <c r="J448" s="1"/>
      <c r="K448" s="7"/>
      <c r="L448" s="7"/>
    </row>
    <row r="449" spans="1:12" ht="22.5" customHeight="1" thickTop="1">
      <c r="A449" s="698" t="s">
        <v>4</v>
      </c>
      <c r="B449" s="692"/>
      <c r="C449" s="945" t="s">
        <v>592</v>
      </c>
      <c r="D449" s="946"/>
      <c r="E449" s="945" t="s">
        <v>593</v>
      </c>
      <c r="F449" s="946"/>
      <c r="G449" s="945" t="s">
        <v>594</v>
      </c>
      <c r="H449" s="964"/>
      <c r="I449" s="288"/>
      <c r="J449" s="12"/>
      <c r="K449" s="25"/>
      <c r="L449" s="25"/>
    </row>
    <row r="450" spans="1:12" ht="15" customHeight="1">
      <c r="A450" s="200" t="s">
        <v>920</v>
      </c>
      <c r="B450" s="254" t="s">
        <v>924</v>
      </c>
      <c r="C450" s="951">
        <f>CEILING(33*$Z$1,0.1)</f>
        <v>41.300000000000004</v>
      </c>
      <c r="D450" s="954"/>
      <c r="E450" s="951">
        <f>CEILING(39*$Z$1,0.1)</f>
        <v>48.800000000000004</v>
      </c>
      <c r="F450" s="954"/>
      <c r="G450" s="951">
        <f>CEILING(33*$Z$1,0.1)</f>
        <v>41.300000000000004</v>
      </c>
      <c r="H450" s="954"/>
      <c r="I450" s="288"/>
      <c r="J450" s="12"/>
      <c r="K450" s="25"/>
      <c r="L450" s="25"/>
    </row>
    <row r="451" spans="1:12" ht="16.5" customHeight="1">
      <c r="A451" s="210" t="s">
        <v>18</v>
      </c>
      <c r="B451" s="254" t="s">
        <v>921</v>
      </c>
      <c r="C451" s="951">
        <f>CEILING((C450+17*$Z$1),0.1)</f>
        <v>62.6</v>
      </c>
      <c r="D451" s="952"/>
      <c r="E451" s="951">
        <f>CEILING((E450+17*$Z$1),0.1)</f>
        <v>70.10000000000001</v>
      </c>
      <c r="F451" s="952"/>
      <c r="G451" s="951">
        <f>CEILING((G450+17*$Z$1),0.1)</f>
        <v>62.6</v>
      </c>
      <c r="H451" s="952"/>
      <c r="I451" s="288"/>
      <c r="J451" s="12"/>
      <c r="K451" s="25"/>
      <c r="L451" s="25"/>
    </row>
    <row r="452" spans="1:12" ht="13.5" customHeight="1">
      <c r="A452" s="515"/>
      <c r="B452" s="254" t="s">
        <v>419</v>
      </c>
      <c r="C452" s="951">
        <f>CEILING((C450*0.85),0.1)</f>
        <v>35.2</v>
      </c>
      <c r="D452" s="952"/>
      <c r="E452" s="951">
        <f>CEILING((E450*0.85),0.1)</f>
        <v>41.5</v>
      </c>
      <c r="F452" s="952"/>
      <c r="G452" s="951">
        <f>CEILING((G450*0.85),0.1)</f>
        <v>35.2</v>
      </c>
      <c r="H452" s="952"/>
      <c r="I452" s="288"/>
      <c r="J452" s="12"/>
      <c r="K452" s="25"/>
      <c r="L452" s="25"/>
    </row>
    <row r="453" spans="1:12" ht="15.75" customHeight="1">
      <c r="A453" s="571"/>
      <c r="B453" s="254" t="s">
        <v>685</v>
      </c>
      <c r="C453" s="949">
        <v>0</v>
      </c>
      <c r="D453" s="953"/>
      <c r="E453" s="949">
        <v>0</v>
      </c>
      <c r="F453" s="953"/>
      <c r="G453" s="949">
        <v>0</v>
      </c>
      <c r="H453" s="953"/>
      <c r="I453" s="288"/>
      <c r="J453" s="12"/>
      <c r="K453" s="25"/>
      <c r="L453" s="25"/>
    </row>
    <row r="454" spans="1:12" ht="15.75" customHeight="1">
      <c r="A454" s="309"/>
      <c r="B454" s="557" t="s">
        <v>922</v>
      </c>
      <c r="C454" s="947">
        <f>CEILING(38*$Z$1,0.1)</f>
        <v>47.5</v>
      </c>
      <c r="D454" s="957"/>
      <c r="E454" s="947">
        <f>CEILING(42*$Z$1,0.1)</f>
        <v>52.5</v>
      </c>
      <c r="F454" s="957"/>
      <c r="G454" s="947">
        <f>CEILING(38*$Z$1,0.1)</f>
        <v>47.5</v>
      </c>
      <c r="H454" s="957"/>
      <c r="I454" s="288"/>
      <c r="J454" s="12"/>
      <c r="K454" s="25"/>
      <c r="L454" s="25"/>
    </row>
    <row r="455" spans="1:12" ht="13.5" customHeight="1" thickBot="1">
      <c r="A455" s="63" t="s">
        <v>420</v>
      </c>
      <c r="B455" s="701" t="s">
        <v>923</v>
      </c>
      <c r="C455" s="958">
        <f>CEILING((C454+17*$Z$1),0.1)</f>
        <v>68.8</v>
      </c>
      <c r="D455" s="959"/>
      <c r="E455" s="958">
        <f>CEILING((E454+17*$Z$1),0.1)</f>
        <v>73.8</v>
      </c>
      <c r="F455" s="959"/>
      <c r="G455" s="958">
        <f>CEILING((G454+17*$Z$1),0.1)</f>
        <v>68.8</v>
      </c>
      <c r="H455" s="959"/>
      <c r="I455" s="288"/>
      <c r="J455" s="12"/>
      <c r="K455" s="25"/>
      <c r="L455" s="25"/>
    </row>
    <row r="456" spans="1:12" ht="16.5" customHeight="1" thickTop="1">
      <c r="A456" s="200" t="s">
        <v>23</v>
      </c>
      <c r="B456" s="254" t="s">
        <v>417</v>
      </c>
      <c r="C456" s="955">
        <f>CEILING(36*$Z$1,0.1)</f>
        <v>45</v>
      </c>
      <c r="D456" s="960"/>
      <c r="E456" s="955">
        <f>CEILING(41*$Z$1,0.1)</f>
        <v>51.300000000000004</v>
      </c>
      <c r="F456" s="960"/>
      <c r="G456" s="955">
        <f>CEILING(36*$Z$1,0.1)</f>
        <v>45</v>
      </c>
      <c r="H456" s="960"/>
      <c r="I456" s="6"/>
      <c r="J456" s="7"/>
      <c r="K456" s="1"/>
      <c r="L456" s="1"/>
    </row>
    <row r="457" spans="1:12" ht="16.5" customHeight="1">
      <c r="A457" s="210" t="s">
        <v>24</v>
      </c>
      <c r="B457" s="254" t="s">
        <v>418</v>
      </c>
      <c r="C457" s="955">
        <f>CEILING((C456+14*$Z$1),0.1)</f>
        <v>62.5</v>
      </c>
      <c r="D457" s="956"/>
      <c r="E457" s="955">
        <f>CEILING((E456+14*$Z$1),0.1)</f>
        <v>68.8</v>
      </c>
      <c r="F457" s="956"/>
      <c r="G457" s="955">
        <f>CEILING((G456+14*$Z$1),0.1)</f>
        <v>62.5</v>
      </c>
      <c r="H457" s="956"/>
      <c r="I457" s="7"/>
      <c r="J457" s="7"/>
      <c r="K457" s="1"/>
      <c r="L457" s="1"/>
    </row>
    <row r="458" spans="1:12" ht="14.25">
      <c r="A458" s="515" t="s">
        <v>897</v>
      </c>
      <c r="B458" s="254" t="s">
        <v>419</v>
      </c>
      <c r="C458" s="955">
        <f>CEILING((C456*0.85),0.1)</f>
        <v>38.300000000000004</v>
      </c>
      <c r="D458" s="956"/>
      <c r="E458" s="955">
        <f>CEILING((E456*0.85),0.1)</f>
        <v>43.7</v>
      </c>
      <c r="F458" s="956"/>
      <c r="G458" s="955">
        <f>CEILING((G456*0.85),0.1)</f>
        <v>38.300000000000004</v>
      </c>
      <c r="H458" s="956"/>
      <c r="I458" s="7"/>
      <c r="J458" s="7"/>
      <c r="K458" s="1"/>
      <c r="L458" s="1"/>
    </row>
    <row r="459" spans="1:12" ht="14.25">
      <c r="A459" s="571"/>
      <c r="B459" s="254" t="s">
        <v>685</v>
      </c>
      <c r="C459" s="949">
        <v>0</v>
      </c>
      <c r="D459" s="953"/>
      <c r="E459" s="949">
        <v>0</v>
      </c>
      <c r="F459" s="953"/>
      <c r="G459" s="949">
        <v>0</v>
      </c>
      <c r="H459" s="953"/>
      <c r="I459" s="7"/>
      <c r="J459" s="7"/>
      <c r="K459" s="1"/>
      <c r="L459" s="1"/>
    </row>
    <row r="460" spans="1:12" ht="15">
      <c r="A460" s="309"/>
      <c r="B460" s="521" t="s">
        <v>104</v>
      </c>
      <c r="C460" s="947">
        <f>CEILING(50*$Z$1,0.1)</f>
        <v>62.5</v>
      </c>
      <c r="D460" s="957"/>
      <c r="E460" s="947">
        <f>CEILING(62*$Z$1,0.1)</f>
        <v>77.5</v>
      </c>
      <c r="F460" s="957"/>
      <c r="G460" s="947">
        <f>CEILING(50*$Z$1,0.1)</f>
        <v>62.5</v>
      </c>
      <c r="H460" s="957"/>
      <c r="I460" s="7"/>
      <c r="J460" s="7"/>
      <c r="K460" s="1"/>
      <c r="L460" s="1"/>
    </row>
    <row r="461" spans="1:12" ht="15" thickBot="1">
      <c r="A461" s="63" t="s">
        <v>420</v>
      </c>
      <c r="B461" s="574" t="s">
        <v>548</v>
      </c>
      <c r="C461" s="958">
        <f>CEILING((C460+17*$Z$1),0.1)</f>
        <v>83.80000000000001</v>
      </c>
      <c r="D461" s="959"/>
      <c r="E461" s="958">
        <f>CEILING((E460+17*$Z$1),0.1)</f>
        <v>98.80000000000001</v>
      </c>
      <c r="F461" s="959"/>
      <c r="G461" s="958">
        <f>CEILING((G460+17*$Z$1),0.1)</f>
        <v>83.80000000000001</v>
      </c>
      <c r="H461" s="959"/>
      <c r="I461" s="7"/>
      <c r="J461" s="7"/>
      <c r="K461" s="1"/>
      <c r="L461" s="1"/>
    </row>
    <row r="462" spans="1:12" ht="15.75" thickTop="1">
      <c r="A462" s="211" t="s">
        <v>22</v>
      </c>
      <c r="B462" s="484" t="s">
        <v>417</v>
      </c>
      <c r="C462" s="951">
        <f>CEILING(40*$Z$1,0.1)</f>
        <v>50</v>
      </c>
      <c r="D462" s="954"/>
      <c r="E462" s="951">
        <f>CEILING(52*$Z$1,0.1)</f>
        <v>65</v>
      </c>
      <c r="F462" s="954"/>
      <c r="G462" s="951">
        <f>CEILING(40*$Z$1,0.1)</f>
        <v>50</v>
      </c>
      <c r="H462" s="954"/>
      <c r="I462" s="6"/>
      <c r="J462" s="7"/>
      <c r="K462" s="1"/>
      <c r="L462" s="1"/>
    </row>
    <row r="463" spans="1:12" ht="15">
      <c r="A463" s="169" t="s">
        <v>416</v>
      </c>
      <c r="B463" s="254" t="s">
        <v>418</v>
      </c>
      <c r="C463" s="951">
        <f>CEILING((C462+14*$Z$1),0.1)</f>
        <v>67.5</v>
      </c>
      <c r="D463" s="952"/>
      <c r="E463" s="951">
        <f>CEILING((E462+14*$Z$1),0.1)</f>
        <v>82.5</v>
      </c>
      <c r="F463" s="952"/>
      <c r="G463" s="951">
        <f>CEILING((G462+14*$Z$1),0.1)</f>
        <v>67.5</v>
      </c>
      <c r="H463" s="954"/>
      <c r="I463" s="6"/>
      <c r="J463" s="7"/>
      <c r="K463" s="1"/>
      <c r="L463" s="1"/>
    </row>
    <row r="464" spans="1:12" ht="15.75" customHeight="1">
      <c r="A464" s="169"/>
      <c r="B464" s="254" t="s">
        <v>419</v>
      </c>
      <c r="C464" s="951">
        <f>CEILING((C462*0.85),0.1)</f>
        <v>42.5</v>
      </c>
      <c r="D464" s="952"/>
      <c r="E464" s="951">
        <f>CEILING((E462*0.85),0.1)</f>
        <v>55.300000000000004</v>
      </c>
      <c r="F464" s="952"/>
      <c r="G464" s="951">
        <f>CEILING((G462*0.85),0.1)</f>
        <v>42.5</v>
      </c>
      <c r="H464" s="954"/>
      <c r="I464" s="6"/>
      <c r="J464" s="7"/>
      <c r="K464" s="1"/>
      <c r="L464" s="1"/>
    </row>
    <row r="465" spans="1:12" ht="15.75" customHeight="1">
      <c r="A465" s="571"/>
      <c r="B465" s="254" t="s">
        <v>685</v>
      </c>
      <c r="C465" s="949">
        <v>0</v>
      </c>
      <c r="D465" s="953"/>
      <c r="E465" s="949">
        <v>0</v>
      </c>
      <c r="F465" s="953"/>
      <c r="G465" s="949">
        <v>0</v>
      </c>
      <c r="H465" s="950"/>
      <c r="I465" s="6"/>
      <c r="J465" s="7"/>
      <c r="K465" s="1"/>
      <c r="L465" s="1"/>
    </row>
    <row r="466" spans="1:12" ht="15.75" customHeight="1">
      <c r="A466" s="202"/>
      <c r="B466" s="521" t="s">
        <v>104</v>
      </c>
      <c r="C466" s="947">
        <f>CEILING(50*$Z$1,0.1)</f>
        <v>62.5</v>
      </c>
      <c r="D466" s="957"/>
      <c r="E466" s="947">
        <f>CEILING(62*$Z$1,0.1)</f>
        <v>77.5</v>
      </c>
      <c r="F466" s="957"/>
      <c r="G466" s="947">
        <f>CEILING(50*$Z$1,0.1)</f>
        <v>62.5</v>
      </c>
      <c r="H466" s="948"/>
      <c r="I466" s="6"/>
      <c r="J466" s="7"/>
      <c r="K466" s="1"/>
      <c r="L466" s="1"/>
    </row>
    <row r="467" spans="1:12" ht="14.25" customHeight="1" thickBot="1">
      <c r="A467" s="63" t="s">
        <v>421</v>
      </c>
      <c r="B467" s="574" t="s">
        <v>548</v>
      </c>
      <c r="C467" s="958">
        <f>CEILING((C466+17*$Z$1),0.1)</f>
        <v>83.80000000000001</v>
      </c>
      <c r="D467" s="959"/>
      <c r="E467" s="958">
        <f>CEILING((E466+17*$Z$1),0.1)</f>
        <v>98.80000000000001</v>
      </c>
      <c r="F467" s="959"/>
      <c r="G467" s="958">
        <f>CEILING((G466+17*$Z$1),0.1)</f>
        <v>83.80000000000001</v>
      </c>
      <c r="H467" s="1040"/>
      <c r="I467" s="6"/>
      <c r="J467" s="7"/>
      <c r="K467" s="1"/>
      <c r="L467" s="1"/>
    </row>
    <row r="468" spans="1:12" ht="18" customHeight="1" thickTop="1">
      <c r="A468" s="200" t="s">
        <v>686</v>
      </c>
      <c r="B468" s="138" t="s">
        <v>11</v>
      </c>
      <c r="C468" s="955">
        <f>CEILING(28*$Z$1,0.1)</f>
        <v>35</v>
      </c>
      <c r="D468" s="960"/>
      <c r="E468" s="955">
        <f>CEILING(32*$Z$1,0.1)</f>
        <v>40</v>
      </c>
      <c r="F468" s="960"/>
      <c r="G468" s="955">
        <f>CEILING(28*$Z$1,0.1)</f>
        <v>35</v>
      </c>
      <c r="H468" s="960"/>
      <c r="I468" s="6"/>
      <c r="J468" s="7"/>
      <c r="K468" s="1"/>
      <c r="L468" s="1"/>
    </row>
    <row r="469" spans="1:25" ht="17.25" customHeight="1">
      <c r="A469" s="202" t="s">
        <v>24</v>
      </c>
      <c r="B469" s="138" t="s">
        <v>7</v>
      </c>
      <c r="C469" s="955">
        <f>CEILING((C468+14*$Z$1),0.1)</f>
        <v>52.5</v>
      </c>
      <c r="D469" s="956"/>
      <c r="E469" s="955">
        <f>CEILING((E468+14*$Z$1),0.1)</f>
        <v>57.5</v>
      </c>
      <c r="F469" s="956"/>
      <c r="G469" s="955">
        <f>CEILING((G468+14*$Z$1),0.1)</f>
        <v>52.5</v>
      </c>
      <c r="H469" s="960"/>
      <c r="I469" s="6"/>
      <c r="J469" s="7"/>
      <c r="K469" s="1"/>
      <c r="L469" s="1"/>
      <c r="M469" s="149"/>
      <c r="N469" s="149"/>
      <c r="O469" s="9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</row>
    <row r="470" spans="1:25" ht="15.75" customHeight="1">
      <c r="A470" s="515" t="s">
        <v>897</v>
      </c>
      <c r="B470" s="138" t="s">
        <v>9</v>
      </c>
      <c r="C470" s="955">
        <f>CEILING((C468*0.85),0.1)</f>
        <v>29.8</v>
      </c>
      <c r="D470" s="956"/>
      <c r="E470" s="955">
        <f>CEILING((E468*0.85),0.1)</f>
        <v>34</v>
      </c>
      <c r="F470" s="956"/>
      <c r="G470" s="955">
        <f>CEILING((G468*0.85),0.1)</f>
        <v>29.8</v>
      </c>
      <c r="H470" s="956"/>
      <c r="I470" s="7"/>
      <c r="J470" s="7"/>
      <c r="K470" s="1"/>
      <c r="L470" s="1"/>
      <c r="M470" s="149"/>
      <c r="N470" s="149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</row>
    <row r="471" spans="1:25" ht="17.25" customHeight="1" thickBot="1">
      <c r="A471" s="63" t="s">
        <v>365</v>
      </c>
      <c r="B471" s="311" t="s">
        <v>685</v>
      </c>
      <c r="C471" s="995">
        <v>0</v>
      </c>
      <c r="D471" s="996"/>
      <c r="E471" s="995">
        <v>0</v>
      </c>
      <c r="F471" s="996"/>
      <c r="G471" s="995">
        <v>0</v>
      </c>
      <c r="H471" s="996"/>
      <c r="I471" s="7"/>
      <c r="J471" s="7"/>
      <c r="K471" s="1"/>
      <c r="L471" s="1"/>
      <c r="M471" s="149"/>
      <c r="N471" s="149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</row>
    <row r="472" spans="1:25" ht="21.75" customHeight="1" thickBot="1" thickTop="1">
      <c r="A472" s="367"/>
      <c r="B472" s="449"/>
      <c r="C472" s="436"/>
      <c r="D472" s="436"/>
      <c r="E472" s="436"/>
      <c r="F472" s="436"/>
      <c r="G472" s="436"/>
      <c r="H472" s="436"/>
      <c r="I472" s="7"/>
      <c r="J472" s="7"/>
      <c r="K472" s="1"/>
      <c r="L472" s="1"/>
      <c r="M472" s="149"/>
      <c r="N472" s="149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</row>
    <row r="473" spans="1:25" ht="26.25" customHeight="1" thickTop="1">
      <c r="A473" s="777" t="s">
        <v>4</v>
      </c>
      <c r="B473" s="62"/>
      <c r="C473" s="945" t="s">
        <v>592</v>
      </c>
      <c r="D473" s="946"/>
      <c r="E473" s="945" t="s">
        <v>593</v>
      </c>
      <c r="F473" s="946"/>
      <c r="G473" s="945" t="s">
        <v>594</v>
      </c>
      <c r="H473" s="964"/>
      <c r="I473" s="6"/>
      <c r="J473" s="7"/>
      <c r="K473" s="1"/>
      <c r="L473" s="1"/>
      <c r="M473" s="149"/>
      <c r="N473" s="149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</row>
    <row r="474" spans="1:25" ht="15">
      <c r="A474" s="379" t="s">
        <v>780</v>
      </c>
      <c r="B474" s="832" t="s">
        <v>293</v>
      </c>
      <c r="C474" s="947">
        <f>CEILING(60.5*$Z$1,0.1)</f>
        <v>75.7</v>
      </c>
      <c r="D474" s="948"/>
      <c r="E474" s="947">
        <f>CEILING(71.5*$Z$1,0.1)</f>
        <v>89.4</v>
      </c>
      <c r="F474" s="948"/>
      <c r="G474" s="947">
        <f>CEILING(60.5*$Z$1,0.1)</f>
        <v>75.7</v>
      </c>
      <c r="H474" s="948"/>
      <c r="I474" s="6"/>
      <c r="J474" s="7"/>
      <c r="K474" s="1"/>
      <c r="L474" s="1"/>
      <c r="M474" s="149"/>
      <c r="N474" s="149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</row>
    <row r="475" spans="1:25" ht="15">
      <c r="A475" s="380" t="s">
        <v>18</v>
      </c>
      <c r="B475" s="833" t="s">
        <v>294</v>
      </c>
      <c r="C475" s="947">
        <f>CEILING(76*$Z$1,0.1)</f>
        <v>95</v>
      </c>
      <c r="D475" s="948"/>
      <c r="E475" s="947">
        <f>CEILING(87*$Z$1,0.1)</f>
        <v>108.80000000000001</v>
      </c>
      <c r="F475" s="948"/>
      <c r="G475" s="947">
        <f>CEILING(76*$Z$1,0.1)</f>
        <v>95</v>
      </c>
      <c r="H475" s="948"/>
      <c r="I475" s="6"/>
      <c r="J475" s="7"/>
      <c r="K475" s="1"/>
      <c r="L475" s="1"/>
      <c r="M475" s="149"/>
      <c r="N475" s="149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</row>
    <row r="476" spans="1:25" ht="14.25">
      <c r="A476" s="381" t="s">
        <v>781</v>
      </c>
      <c r="B476" s="834" t="s">
        <v>149</v>
      </c>
      <c r="C476" s="947">
        <f>CEILING(65.5*$Z$1,0.1)</f>
        <v>81.9</v>
      </c>
      <c r="D476" s="957"/>
      <c r="E476" s="947">
        <f>CEILING(76.5*$Z$1,0.1)</f>
        <v>95.7</v>
      </c>
      <c r="F476" s="957"/>
      <c r="G476" s="947">
        <f>CEILING(65.5*$Z$1,0.1)</f>
        <v>81.9</v>
      </c>
      <c r="H476" s="948"/>
      <c r="I476" s="6"/>
      <c r="J476" s="7"/>
      <c r="K476" s="1"/>
      <c r="L476" s="1"/>
      <c r="M476" s="149"/>
      <c r="N476" s="149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</row>
    <row r="477" spans="1:25" ht="15">
      <c r="A477" s="380"/>
      <c r="B477" s="833" t="s">
        <v>212</v>
      </c>
      <c r="C477" s="947">
        <f>CEILING(81*$Z$1,0.1)</f>
        <v>101.30000000000001</v>
      </c>
      <c r="D477" s="948"/>
      <c r="E477" s="947">
        <f>CEILING(92*$Z$1,0.1)</f>
        <v>115</v>
      </c>
      <c r="F477" s="948"/>
      <c r="G477" s="947">
        <f>CEILING(81*$Z$1,0.1)</f>
        <v>101.30000000000001</v>
      </c>
      <c r="H477" s="948"/>
      <c r="I477" s="6"/>
      <c r="J477" s="7"/>
      <c r="K477" s="1"/>
      <c r="L477" s="1"/>
      <c r="M477" s="149"/>
      <c r="N477" s="149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</row>
    <row r="478" spans="1:25" ht="15">
      <c r="A478" s="380"/>
      <c r="B478" s="833" t="s">
        <v>295</v>
      </c>
      <c r="C478" s="947">
        <f>CEILING(68*$Z$1,0.1)</f>
        <v>85</v>
      </c>
      <c r="D478" s="957"/>
      <c r="E478" s="947">
        <f>CEILING(79*$Z$1,0.1)</f>
        <v>98.80000000000001</v>
      </c>
      <c r="F478" s="957"/>
      <c r="G478" s="947">
        <f>CEILING(68*$Z$1,0.1)</f>
        <v>85</v>
      </c>
      <c r="H478" s="948"/>
      <c r="I478" s="6"/>
      <c r="J478" s="7"/>
      <c r="K478" s="1"/>
      <c r="L478" s="1"/>
      <c r="M478" s="149"/>
      <c r="N478" s="149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</row>
    <row r="479" spans="1:25" ht="15">
      <c r="A479" s="380"/>
      <c r="B479" s="833" t="s">
        <v>296</v>
      </c>
      <c r="C479" s="947">
        <f>CEILING(83*$Z$1,0.1)</f>
        <v>103.80000000000001</v>
      </c>
      <c r="D479" s="948"/>
      <c r="E479" s="947">
        <f>CEILING(94*$Z$1,0.1)</f>
        <v>117.5</v>
      </c>
      <c r="F479" s="948"/>
      <c r="G479" s="947">
        <f>CEILING(83*$Z$1,0.1)</f>
        <v>103.80000000000001</v>
      </c>
      <c r="H479" s="948"/>
      <c r="I479" s="6"/>
      <c r="J479" s="7"/>
      <c r="K479" s="1"/>
      <c r="L479" s="1"/>
      <c r="M479" s="149"/>
      <c r="N479" s="149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</row>
    <row r="480" spans="1:25" ht="15">
      <c r="A480" s="380"/>
      <c r="B480" s="833" t="s">
        <v>782</v>
      </c>
      <c r="C480" s="947">
        <f>CEILING(68*$Z$1,0.1)</f>
        <v>85</v>
      </c>
      <c r="D480" s="957"/>
      <c r="E480" s="947">
        <f>CEILING(79*$Z$1,0.1)</f>
        <v>98.80000000000001</v>
      </c>
      <c r="F480" s="957"/>
      <c r="G480" s="947">
        <f>CEILING(68*$Z$1,0.1)</f>
        <v>85</v>
      </c>
      <c r="H480" s="948"/>
      <c r="I480" s="6"/>
      <c r="J480" s="7"/>
      <c r="K480" s="1"/>
      <c r="L480" s="1"/>
      <c r="M480" s="149"/>
      <c r="N480" s="149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</row>
    <row r="481" spans="1:25" ht="15">
      <c r="A481" s="380"/>
      <c r="B481" s="833" t="s">
        <v>783</v>
      </c>
      <c r="C481" s="947">
        <f>CEILING(70.5*$Z$1,0.1)</f>
        <v>88.2</v>
      </c>
      <c r="D481" s="957"/>
      <c r="E481" s="947">
        <f>CEILING(81.5*$Z$1,0.1)</f>
        <v>101.9</v>
      </c>
      <c r="F481" s="957"/>
      <c r="G481" s="947">
        <f>CEILING(70.5*$Z$1,0.1)</f>
        <v>88.2</v>
      </c>
      <c r="H481" s="957"/>
      <c r="I481" s="7"/>
      <c r="J481" s="7"/>
      <c r="K481" s="1"/>
      <c r="L481" s="1"/>
      <c r="M481" s="149"/>
      <c r="N481" s="149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</row>
    <row r="482" spans="1:25" ht="15">
      <c r="A482" s="380"/>
      <c r="B482" s="833" t="s">
        <v>784</v>
      </c>
      <c r="C482" s="947">
        <f>CEILING(86*$Z$1,0.1)</f>
        <v>107.5</v>
      </c>
      <c r="D482" s="957"/>
      <c r="E482" s="947">
        <f>CEILING(97*$Z$1,0.1)</f>
        <v>121.30000000000001</v>
      </c>
      <c r="F482" s="957"/>
      <c r="G482" s="947">
        <f>CEILING(86*$Z$1,0.1)</f>
        <v>107.5</v>
      </c>
      <c r="H482" s="957"/>
      <c r="I482" s="7"/>
      <c r="J482" s="7"/>
      <c r="K482" s="1"/>
      <c r="L482" s="1"/>
      <c r="M482" s="149"/>
      <c r="N482" s="149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</row>
    <row r="483" spans="1:25" ht="15" thickBot="1">
      <c r="A483" s="64" t="s">
        <v>381</v>
      </c>
      <c r="B483" s="835" t="s">
        <v>785</v>
      </c>
      <c r="C483" s="958">
        <f>CEILING(70.5*$Z$1,0.1)</f>
        <v>88.2</v>
      </c>
      <c r="D483" s="959"/>
      <c r="E483" s="958">
        <f>CEILING(81.5*$Z$1,0.1)</f>
        <v>101.9</v>
      </c>
      <c r="F483" s="959"/>
      <c r="G483" s="958">
        <f>CEILING(70.5*$Z$1,0.1)</f>
        <v>88.2</v>
      </c>
      <c r="H483" s="959"/>
      <c r="I483" s="7"/>
      <c r="J483" s="7"/>
      <c r="K483" s="1"/>
      <c r="L483" s="1"/>
      <c r="M483" s="149"/>
      <c r="N483" s="149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</row>
    <row r="484" spans="1:25" ht="20.25" customHeight="1" thickBot="1" thickTop="1">
      <c r="A484" s="808"/>
      <c r="B484" s="261"/>
      <c r="C484" s="285"/>
      <c r="D484" s="285"/>
      <c r="E484" s="931"/>
      <c r="F484" s="931"/>
      <c r="G484" s="931"/>
      <c r="H484" s="931"/>
      <c r="I484" s="7"/>
      <c r="J484" s="7"/>
      <c r="K484" s="1"/>
      <c r="L484" s="1"/>
      <c r="M484" s="149"/>
      <c r="N484" s="149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</row>
    <row r="485" spans="1:25" ht="26.25" customHeight="1" thickTop="1">
      <c r="A485" s="777" t="s">
        <v>4</v>
      </c>
      <c r="B485" s="692"/>
      <c r="C485" s="945" t="s">
        <v>625</v>
      </c>
      <c r="D485" s="964"/>
      <c r="E485" s="975"/>
      <c r="F485" s="976"/>
      <c r="G485" s="976"/>
      <c r="H485" s="976"/>
      <c r="I485" s="7"/>
      <c r="J485" s="7"/>
      <c r="K485" s="1"/>
      <c r="L485" s="1"/>
      <c r="M485" s="149"/>
      <c r="N485" s="149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</row>
    <row r="486" spans="1:25" ht="15">
      <c r="A486" s="159" t="s">
        <v>786</v>
      </c>
      <c r="B486" s="784" t="s">
        <v>494</v>
      </c>
      <c r="C486" s="971">
        <f>CEILING(38*$Z$1,0.1)</f>
        <v>47.5</v>
      </c>
      <c r="D486" s="974"/>
      <c r="E486" s="947"/>
      <c r="F486" s="948"/>
      <c r="G486" s="948"/>
      <c r="H486" s="948"/>
      <c r="I486" s="7"/>
      <c r="J486" s="7"/>
      <c r="K486" s="1"/>
      <c r="L486" s="1"/>
      <c r="M486" s="149"/>
      <c r="N486" s="149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</row>
    <row r="487" spans="1:25" ht="15">
      <c r="A487" s="162" t="s">
        <v>18</v>
      </c>
      <c r="B487" s="784" t="s">
        <v>495</v>
      </c>
      <c r="C487" s="971">
        <f>CEILING(46*$Z$1,0.1)</f>
        <v>57.5</v>
      </c>
      <c r="D487" s="974"/>
      <c r="E487" s="947"/>
      <c r="F487" s="948"/>
      <c r="G487" s="948"/>
      <c r="H487" s="948"/>
      <c r="I487" s="7"/>
      <c r="J487" s="7"/>
      <c r="K487" s="1"/>
      <c r="L487" s="1"/>
      <c r="M487" s="149"/>
      <c r="N487" s="149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</row>
    <row r="488" spans="1:25" ht="15">
      <c r="A488" s="409"/>
      <c r="B488" s="161" t="s">
        <v>925</v>
      </c>
      <c r="C488" s="971">
        <f>CEILING(29*$Z$1,0.1)</f>
        <v>36.300000000000004</v>
      </c>
      <c r="D488" s="974"/>
      <c r="E488" s="930"/>
      <c r="F488" s="932"/>
      <c r="G488" s="932"/>
      <c r="H488" s="932"/>
      <c r="I488" s="7"/>
      <c r="J488" s="7"/>
      <c r="K488" s="1"/>
      <c r="L488" s="1"/>
      <c r="M488" s="149"/>
      <c r="N488" s="149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</row>
    <row r="489" spans="1:25" ht="14.25">
      <c r="A489" s="782" t="s">
        <v>927</v>
      </c>
      <c r="B489" s="783" t="s">
        <v>787</v>
      </c>
      <c r="C489" s="992">
        <v>0</v>
      </c>
      <c r="D489" s="993"/>
      <c r="E489" s="949"/>
      <c r="F489" s="950"/>
      <c r="G489" s="950"/>
      <c r="H489" s="950"/>
      <c r="I489" s="7"/>
      <c r="J489" s="7"/>
      <c r="K489" s="1"/>
      <c r="L489" s="1"/>
      <c r="M489" s="149"/>
      <c r="N489" s="149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</row>
    <row r="490" spans="1:25" ht="14.25">
      <c r="A490" s="782" t="s">
        <v>928</v>
      </c>
      <c r="B490" s="783" t="s">
        <v>497</v>
      </c>
      <c r="C490" s="971">
        <f>CEILING(44*$Z$1,0.1)</f>
        <v>55</v>
      </c>
      <c r="D490" s="974"/>
      <c r="E490" s="947"/>
      <c r="F490" s="948"/>
      <c r="G490" s="948"/>
      <c r="H490" s="948"/>
      <c r="I490" s="7"/>
      <c r="J490" s="7"/>
      <c r="K490" s="1"/>
      <c r="L490" s="1"/>
      <c r="M490" s="149"/>
      <c r="N490" s="149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</row>
    <row r="491" spans="1:25" ht="15">
      <c r="A491" s="162"/>
      <c r="B491" s="784" t="s">
        <v>498</v>
      </c>
      <c r="C491" s="971">
        <f>CEILING(54*$Z$1,0.1)</f>
        <v>67.5</v>
      </c>
      <c r="D491" s="974"/>
      <c r="E491" s="947"/>
      <c r="F491" s="948"/>
      <c r="G491" s="948"/>
      <c r="H491" s="948"/>
      <c r="I491" s="7"/>
      <c r="J491" s="7"/>
      <c r="K491" s="1"/>
      <c r="L491" s="1"/>
      <c r="M491" s="149"/>
      <c r="N491" s="149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</row>
    <row r="492" spans="1:25" ht="15">
      <c r="A492" s="162"/>
      <c r="B492" s="836" t="s">
        <v>926</v>
      </c>
      <c r="C492" s="971">
        <f>CEILING(36*$Z$1,0.1)</f>
        <v>45</v>
      </c>
      <c r="D492" s="974"/>
      <c r="E492" s="930"/>
      <c r="F492" s="932"/>
      <c r="G492" s="932"/>
      <c r="H492" s="932"/>
      <c r="I492" s="7"/>
      <c r="J492" s="7"/>
      <c r="K492" s="1"/>
      <c r="L492" s="1"/>
      <c r="M492" s="149"/>
      <c r="N492" s="149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</row>
    <row r="493" spans="1:25" ht="15">
      <c r="A493" s="162"/>
      <c r="B493" s="836" t="s">
        <v>304</v>
      </c>
      <c r="C493" s="971">
        <f>CEILING(54*$Z$1,0.1)</f>
        <v>67.5</v>
      </c>
      <c r="D493" s="974"/>
      <c r="E493" s="947"/>
      <c r="F493" s="948"/>
      <c r="G493" s="948"/>
      <c r="H493" s="948"/>
      <c r="I493" s="7"/>
      <c r="J493" s="7"/>
      <c r="K493" s="1"/>
      <c r="L493" s="1"/>
      <c r="M493" s="149"/>
      <c r="N493" s="149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</row>
    <row r="494" spans="1:25" ht="15" thickBot="1">
      <c r="A494" s="64" t="s">
        <v>381</v>
      </c>
      <c r="B494" s="793" t="s">
        <v>305</v>
      </c>
      <c r="C494" s="983">
        <f>CEILING(69*$Z$1,0.1)</f>
        <v>86.30000000000001</v>
      </c>
      <c r="D494" s="984"/>
      <c r="E494" s="947"/>
      <c r="F494" s="948"/>
      <c r="G494" s="948"/>
      <c r="H494" s="948"/>
      <c r="I494" s="7"/>
      <c r="J494" s="7"/>
      <c r="K494" s="1"/>
      <c r="L494" s="1"/>
      <c r="M494" s="149"/>
      <c r="N494" s="149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</row>
    <row r="495" spans="1:25" ht="24" customHeight="1" thickBot="1" thickTop="1">
      <c r="A495" s="367"/>
      <c r="B495" s="449"/>
      <c r="C495" s="436"/>
      <c r="D495" s="436"/>
      <c r="E495" s="68"/>
      <c r="F495" s="68"/>
      <c r="G495" s="68"/>
      <c r="H495" s="68"/>
      <c r="I495" s="7"/>
      <c r="J495" s="7"/>
      <c r="K495" s="1"/>
      <c r="L495" s="1"/>
      <c r="M495" s="149"/>
      <c r="N495" s="149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</row>
    <row r="496" spans="1:25" ht="24" customHeight="1" thickTop="1">
      <c r="A496" s="697" t="s">
        <v>4</v>
      </c>
      <c r="B496" s="11"/>
      <c r="C496" s="945" t="s">
        <v>592</v>
      </c>
      <c r="D496" s="946"/>
      <c r="E496" s="945" t="s">
        <v>593</v>
      </c>
      <c r="F496" s="946"/>
      <c r="G496" s="945" t="s">
        <v>594</v>
      </c>
      <c r="H496" s="964"/>
      <c r="I496" s="975"/>
      <c r="J496" s="976"/>
      <c r="K496" s="1"/>
      <c r="L496" s="1"/>
      <c r="M496" s="149"/>
      <c r="N496" s="149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</row>
    <row r="497" spans="1:25" ht="15.75" customHeight="1">
      <c r="A497" s="200" t="s">
        <v>110</v>
      </c>
      <c r="B497" s="437" t="s">
        <v>370</v>
      </c>
      <c r="C497" s="947">
        <f>CEILING(50*$Z$1,0.1)</f>
        <v>62.5</v>
      </c>
      <c r="D497" s="948"/>
      <c r="E497" s="947">
        <f>CEILING(55*$Z$1,0.1)</f>
        <v>68.8</v>
      </c>
      <c r="F497" s="948"/>
      <c r="G497" s="947">
        <f>CEILING(50*$Z$1,0.1)</f>
        <v>62.5</v>
      </c>
      <c r="H497" s="948"/>
      <c r="I497" s="1109"/>
      <c r="J497" s="1053"/>
      <c r="K497" s="1"/>
      <c r="L497" s="1"/>
      <c r="M497" s="149"/>
      <c r="N497" s="149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</row>
    <row r="498" spans="1:25" ht="18" customHeight="1">
      <c r="A498" s="21" t="s">
        <v>18</v>
      </c>
      <c r="B498" s="208" t="s">
        <v>371</v>
      </c>
      <c r="C498" s="947">
        <f>CEILING(65*$Z$1,0.1)</f>
        <v>81.30000000000001</v>
      </c>
      <c r="D498" s="948"/>
      <c r="E498" s="947">
        <f>CEILING(70*$Z$1,0.1)</f>
        <v>87.5</v>
      </c>
      <c r="F498" s="948"/>
      <c r="G498" s="947">
        <f>CEILING(65*$Z$1,0.1)</f>
        <v>81.30000000000001</v>
      </c>
      <c r="H498" s="948"/>
      <c r="I498" s="1109"/>
      <c r="J498" s="1053"/>
      <c r="K498" s="1"/>
      <c r="L498" s="1"/>
      <c r="M498" s="387"/>
      <c r="N498" s="387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</row>
    <row r="499" spans="1:25" ht="18" customHeight="1">
      <c r="A499" s="259"/>
      <c r="B499" s="232" t="s">
        <v>372</v>
      </c>
      <c r="C499" s="947">
        <f>CEILING(42*$Z$1,0.1)</f>
        <v>52.5</v>
      </c>
      <c r="D499" s="948"/>
      <c r="E499" s="947">
        <f>CEILING(44*$Z$1,0.1)</f>
        <v>55</v>
      </c>
      <c r="F499" s="948"/>
      <c r="G499" s="947">
        <f>CEILING(42*$Z$1,0.1)</f>
        <v>52.5</v>
      </c>
      <c r="H499" s="948"/>
      <c r="I499" s="1109"/>
      <c r="J499" s="1053"/>
      <c r="K499" s="1"/>
      <c r="L499" s="1"/>
      <c r="M499" s="141"/>
      <c r="N499" s="141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</row>
    <row r="500" spans="1:25" ht="19.5" customHeight="1">
      <c r="A500" s="174"/>
      <c r="B500" s="322" t="s">
        <v>2</v>
      </c>
      <c r="C500" s="1135">
        <v>0</v>
      </c>
      <c r="D500" s="1136"/>
      <c r="E500" s="1135">
        <v>0</v>
      </c>
      <c r="F500" s="1136"/>
      <c r="G500" s="1135">
        <v>0</v>
      </c>
      <c r="H500" s="1136"/>
      <c r="I500" s="1109"/>
      <c r="J500" s="1053"/>
      <c r="K500" s="1"/>
      <c r="L500" s="1"/>
      <c r="M500" s="388"/>
      <c r="N500" s="388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</row>
    <row r="501" spans="1:12" ht="15.75" customHeight="1">
      <c r="A501" s="174"/>
      <c r="B501" s="208" t="s">
        <v>373</v>
      </c>
      <c r="C501" s="990">
        <f>CEILING(55*$Z$1,0.1)</f>
        <v>68.8</v>
      </c>
      <c r="D501" s="991"/>
      <c r="E501" s="990">
        <f>CEILING(60*$Z$1,0.1)</f>
        <v>75</v>
      </c>
      <c r="F501" s="991"/>
      <c r="G501" s="990">
        <f>CEILING(55*$Z$1,0.1)</f>
        <v>68.8</v>
      </c>
      <c r="H501" s="991"/>
      <c r="I501" s="606"/>
      <c r="J501" s="607"/>
      <c r="K501" s="1"/>
      <c r="L501" s="1"/>
    </row>
    <row r="502" spans="1:12" ht="16.5" customHeight="1">
      <c r="A502" s="174"/>
      <c r="B502" s="208" t="s">
        <v>374</v>
      </c>
      <c r="C502" s="947">
        <f>CEILING(70*$Z$1,0.1)</f>
        <v>87.5</v>
      </c>
      <c r="D502" s="957"/>
      <c r="E502" s="947">
        <f>CEILING(75*$Z$1,0.1)</f>
        <v>93.80000000000001</v>
      </c>
      <c r="F502" s="957"/>
      <c r="G502" s="947">
        <f>CEILING(70*$Z$1,0.1)</f>
        <v>87.5</v>
      </c>
      <c r="H502" s="957"/>
      <c r="I502" s="606"/>
      <c r="J502" s="607"/>
      <c r="K502" s="1"/>
      <c r="L502" s="1"/>
    </row>
    <row r="503" spans="1:12" ht="19.5" customHeight="1">
      <c r="A503" s="174"/>
      <c r="B503" s="231" t="s">
        <v>375</v>
      </c>
      <c r="C503" s="947">
        <f>CEILING(46*$Z$1,0.1)</f>
        <v>57.5</v>
      </c>
      <c r="D503" s="948"/>
      <c r="E503" s="947">
        <f>CEILING(49*$Z$1,0.1)</f>
        <v>61.300000000000004</v>
      </c>
      <c r="F503" s="948"/>
      <c r="G503" s="947">
        <f>CEILING(46*$Z$1,0.1)</f>
        <v>57.5</v>
      </c>
      <c r="H503" s="957"/>
      <c r="I503" s="772"/>
      <c r="J503" s="607"/>
      <c r="K503" s="1"/>
      <c r="L503" s="1"/>
    </row>
    <row r="504" spans="1:12" ht="18.75" customHeight="1" thickBot="1">
      <c r="A504" s="64" t="s">
        <v>381</v>
      </c>
      <c r="B504" s="353" t="s">
        <v>2</v>
      </c>
      <c r="C504" s="995">
        <v>0</v>
      </c>
      <c r="D504" s="996"/>
      <c r="E504" s="995">
        <v>0</v>
      </c>
      <c r="F504" s="996"/>
      <c r="G504" s="995">
        <v>0</v>
      </c>
      <c r="H504" s="996"/>
      <c r="I504" s="606"/>
      <c r="J504" s="607"/>
      <c r="K504" s="1"/>
      <c r="L504" s="1"/>
    </row>
    <row r="505" spans="1:12" ht="22.5" customHeight="1" thickBot="1" thickTop="1">
      <c r="A505" s="10"/>
      <c r="B505" s="10"/>
      <c r="C505" s="10"/>
      <c r="D505" s="10"/>
      <c r="E505" s="10"/>
      <c r="F505" s="10"/>
      <c r="G505" s="10"/>
      <c r="H505" s="10"/>
      <c r="I505" s="1"/>
      <c r="J505" s="1"/>
      <c r="K505" s="1"/>
      <c r="L505" s="1"/>
    </row>
    <row r="506" spans="1:12" ht="22.5" customHeight="1" thickTop="1">
      <c r="A506" s="57" t="s">
        <v>4</v>
      </c>
      <c r="B506" s="62"/>
      <c r="C506" s="945" t="s">
        <v>592</v>
      </c>
      <c r="D506" s="946"/>
      <c r="E506" s="945" t="s">
        <v>593</v>
      </c>
      <c r="F506" s="946"/>
      <c r="G506" s="945" t="s">
        <v>594</v>
      </c>
      <c r="H506" s="964"/>
      <c r="I506" s="288"/>
      <c r="J506" s="25"/>
      <c r="K506" s="25"/>
      <c r="L506" s="25"/>
    </row>
    <row r="507" spans="1:12" ht="15" customHeight="1">
      <c r="A507" s="209" t="s">
        <v>63</v>
      </c>
      <c r="B507" s="161" t="s">
        <v>11</v>
      </c>
      <c r="C507" s="947">
        <f>CEILING(48*$Z$1,0.1)</f>
        <v>60</v>
      </c>
      <c r="D507" s="948"/>
      <c r="E507" s="947">
        <f>CEILING(50*$Z$1,0.1)</f>
        <v>62.5</v>
      </c>
      <c r="F507" s="948"/>
      <c r="G507" s="947">
        <f>CEILING(48*$Z$1,0.1)</f>
        <v>60</v>
      </c>
      <c r="H507" s="948"/>
      <c r="I507" s="6"/>
      <c r="J507" s="1"/>
      <c r="K507" s="1"/>
      <c r="L507" s="1"/>
    </row>
    <row r="508" spans="1:12" ht="16.5" customHeight="1">
      <c r="A508" s="15" t="s">
        <v>18</v>
      </c>
      <c r="B508" s="836" t="s">
        <v>7</v>
      </c>
      <c r="C508" s="947">
        <f>CEILING(63*$Z$1,0.1)</f>
        <v>78.80000000000001</v>
      </c>
      <c r="D508" s="948"/>
      <c r="E508" s="947">
        <f>CEILING(65*$Z$1,0.1)</f>
        <v>81.30000000000001</v>
      </c>
      <c r="F508" s="948"/>
      <c r="G508" s="947">
        <f>CEILING(63*$Z$1,0.1)</f>
        <v>78.80000000000001</v>
      </c>
      <c r="H508" s="948"/>
      <c r="I508" s="6"/>
      <c r="J508" s="1"/>
      <c r="K508" s="1"/>
      <c r="L508" s="1"/>
    </row>
    <row r="509" spans="1:12" ht="15.75" customHeight="1">
      <c r="A509" s="15"/>
      <c r="B509" s="836" t="s">
        <v>274</v>
      </c>
      <c r="C509" s="947">
        <f>CEILING(51*$Z$1,0.1)</f>
        <v>63.800000000000004</v>
      </c>
      <c r="D509" s="957"/>
      <c r="E509" s="947">
        <f>CEILING(53*$Z$1,0.1)</f>
        <v>66.3</v>
      </c>
      <c r="F509" s="957"/>
      <c r="G509" s="947">
        <f>CEILING(51*$Z$1,0.1)</f>
        <v>63.800000000000004</v>
      </c>
      <c r="H509" s="957"/>
      <c r="I509" s="6"/>
      <c r="J509" s="1"/>
      <c r="K509" s="1"/>
      <c r="L509" s="1"/>
    </row>
    <row r="510" spans="1:12" ht="17.25" customHeight="1">
      <c r="A510" s="259"/>
      <c r="B510" s="784" t="s">
        <v>275</v>
      </c>
      <c r="C510" s="947">
        <f>CEILING(66*$Z$1,0.1)</f>
        <v>82.5</v>
      </c>
      <c r="D510" s="948"/>
      <c r="E510" s="947">
        <f>CEILING(68*$Z$1,0.1)</f>
        <v>85</v>
      </c>
      <c r="F510" s="948"/>
      <c r="G510" s="947">
        <f>CEILING(66*$Z$1,0.1)</f>
        <v>82.5</v>
      </c>
      <c r="H510" s="948"/>
      <c r="I510" s="6"/>
      <c r="J510" s="1"/>
      <c r="K510" s="1"/>
      <c r="L510" s="1"/>
    </row>
    <row r="511" spans="1:12" ht="18" customHeight="1" thickBot="1">
      <c r="A511" s="64" t="s">
        <v>381</v>
      </c>
      <c r="B511" s="793" t="s">
        <v>2</v>
      </c>
      <c r="C511" s="995">
        <v>0</v>
      </c>
      <c r="D511" s="996"/>
      <c r="E511" s="995">
        <v>0</v>
      </c>
      <c r="F511" s="996"/>
      <c r="G511" s="995">
        <v>0</v>
      </c>
      <c r="H511" s="996"/>
      <c r="I511" s="6"/>
      <c r="J511" s="1"/>
      <c r="K511" s="1"/>
      <c r="L511" s="1"/>
    </row>
    <row r="512" spans="1:12" ht="25.5" customHeight="1" thickBot="1" thickTop="1">
      <c r="A512" s="367"/>
      <c r="B512" s="483"/>
      <c r="C512" s="445"/>
      <c r="D512" s="445"/>
      <c r="E512" s="445"/>
      <c r="F512" s="445"/>
      <c r="G512" s="445"/>
      <c r="H512" s="445"/>
      <c r="I512" s="7"/>
      <c r="J512" s="1"/>
      <c r="K512" s="1"/>
      <c r="L512" s="1"/>
    </row>
    <row r="513" spans="1:12" ht="24" customHeight="1" thickTop="1">
      <c r="A513" s="699" t="s">
        <v>4</v>
      </c>
      <c r="B513" s="57"/>
      <c r="C513" s="945" t="s">
        <v>592</v>
      </c>
      <c r="D513" s="946"/>
      <c r="E513" s="945" t="s">
        <v>593</v>
      </c>
      <c r="F513" s="946"/>
      <c r="G513" s="945" t="s">
        <v>594</v>
      </c>
      <c r="H513" s="964"/>
      <c r="I513" s="6"/>
      <c r="J513" s="1"/>
      <c r="K513" s="7"/>
      <c r="L513" s="7"/>
    </row>
    <row r="514" spans="1:12" ht="17.25" customHeight="1">
      <c r="A514" s="215" t="s">
        <v>268</v>
      </c>
      <c r="B514" s="627" t="s">
        <v>53</v>
      </c>
      <c r="C514" s="981">
        <f>CEILING(50*$Z$1,0.1)</f>
        <v>62.5</v>
      </c>
      <c r="D514" s="982"/>
      <c r="E514" s="981">
        <f>CEILING(61*$Z$1,0.1)</f>
        <v>76.3</v>
      </c>
      <c r="F514" s="982"/>
      <c r="G514" s="981">
        <f>CEILING(50*$Z$1,0.1)</f>
        <v>62.5</v>
      </c>
      <c r="H514" s="982"/>
      <c r="I514" s="6"/>
      <c r="J514" s="1"/>
      <c r="K514" s="7"/>
      <c r="L514" s="7"/>
    </row>
    <row r="515" spans="1:12" ht="17.25" customHeight="1">
      <c r="A515" s="210" t="s">
        <v>18</v>
      </c>
      <c r="B515" s="521" t="s">
        <v>107</v>
      </c>
      <c r="C515" s="951">
        <f>CEILING((C514+25*$Z$1),0.1)</f>
        <v>93.80000000000001</v>
      </c>
      <c r="D515" s="952"/>
      <c r="E515" s="951">
        <f>CEILING((E514+25*$Z$1),0.1)</f>
        <v>107.60000000000001</v>
      </c>
      <c r="F515" s="952"/>
      <c r="G515" s="951">
        <f>CEILING((G514+25*$Z$1),0.1)</f>
        <v>93.80000000000001</v>
      </c>
      <c r="H515" s="952"/>
      <c r="I515" s="69"/>
      <c r="J515" s="69"/>
      <c r="K515" s="70"/>
      <c r="L515" s="70"/>
    </row>
    <row r="516" spans="1:12" ht="17.25" customHeight="1">
      <c r="A516" s="210"/>
      <c r="B516" s="521" t="s">
        <v>500</v>
      </c>
      <c r="C516" s="947">
        <f>CEILING(60*$Z$1,0.1)</f>
        <v>75</v>
      </c>
      <c r="D516" s="957"/>
      <c r="E516" s="947">
        <f>CEILING(71*$Z$1,0.1)</f>
        <v>88.80000000000001</v>
      </c>
      <c r="F516" s="957"/>
      <c r="G516" s="947">
        <f>CEILING(60*$Z$1,0.1)</f>
        <v>75</v>
      </c>
      <c r="H516" s="957"/>
      <c r="I516" s="69"/>
      <c r="J516" s="69"/>
      <c r="K516" s="70"/>
      <c r="L516" s="70"/>
    </row>
    <row r="517" spans="1:12" ht="17.25" customHeight="1" thickBot="1">
      <c r="A517" s="199" t="s">
        <v>217</v>
      </c>
      <c r="B517" s="749" t="s">
        <v>510</v>
      </c>
      <c r="C517" s="967">
        <f>CEILING((C516+25*$Z$1),0.1)</f>
        <v>106.30000000000001</v>
      </c>
      <c r="D517" s="973"/>
      <c r="E517" s="967">
        <f>CEILING((E516+25*$Z$1),0.1)</f>
        <v>120.10000000000001</v>
      </c>
      <c r="F517" s="973"/>
      <c r="G517" s="967">
        <f>CEILING((G516+25*$Z$1),0.1)</f>
        <v>106.30000000000001</v>
      </c>
      <c r="H517" s="973"/>
      <c r="I517" s="69"/>
      <c r="J517" s="69"/>
      <c r="K517" s="70"/>
      <c r="L517" s="70"/>
    </row>
    <row r="518" spans="1:12" ht="15" thickTop="1">
      <c r="A518" s="1037" t="s">
        <v>742</v>
      </c>
      <c r="B518" s="1038"/>
      <c r="C518" s="1038"/>
      <c r="D518" s="1038"/>
      <c r="E518" s="1038"/>
      <c r="F518" s="1038"/>
      <c r="G518" s="1038"/>
      <c r="H518" s="1038"/>
      <c r="I518" s="1038"/>
      <c r="J518" s="1038"/>
      <c r="K518" s="7"/>
      <c r="L518" s="7"/>
    </row>
    <row r="519" spans="1:12" ht="22.5" customHeight="1" thickBot="1">
      <c r="A519" s="10"/>
      <c r="B519" s="10"/>
      <c r="C519" s="10"/>
      <c r="D519" s="10"/>
      <c r="E519" s="10"/>
      <c r="F519" s="10"/>
      <c r="G519" s="10"/>
      <c r="H519" s="10"/>
      <c r="I519" s="7"/>
      <c r="J519" s="7"/>
      <c r="K519" s="7"/>
      <c r="L519" s="7"/>
    </row>
    <row r="520" spans="1:12" ht="23.25" customHeight="1" thickTop="1">
      <c r="A520" s="697" t="s">
        <v>4</v>
      </c>
      <c r="B520" s="450" t="s">
        <v>386</v>
      </c>
      <c r="C520" s="945" t="s">
        <v>592</v>
      </c>
      <c r="D520" s="946"/>
      <c r="E520" s="945" t="s">
        <v>593</v>
      </c>
      <c r="F520" s="946"/>
      <c r="G520" s="945" t="s">
        <v>594</v>
      </c>
      <c r="H520" s="964"/>
      <c r="I520" s="288"/>
      <c r="J520" s="25"/>
      <c r="K520" s="12"/>
      <c r="L520" s="12"/>
    </row>
    <row r="521" spans="1:12" ht="16.5" customHeight="1">
      <c r="A521" s="215" t="s">
        <v>385</v>
      </c>
      <c r="B521" s="254" t="s">
        <v>53</v>
      </c>
      <c r="C521" s="981">
        <f>CEILING(40*$Z$1,0.1)</f>
        <v>50</v>
      </c>
      <c r="D521" s="982"/>
      <c r="E521" s="981">
        <f>CEILING(45*$Z$1,0.1)</f>
        <v>56.300000000000004</v>
      </c>
      <c r="F521" s="982"/>
      <c r="G521" s="981">
        <f>CEILING(40*$Z$1,0.1)</f>
        <v>50</v>
      </c>
      <c r="H521" s="982"/>
      <c r="I521" s="6"/>
      <c r="J521" s="1"/>
      <c r="K521" s="7"/>
      <c r="L521" s="7"/>
    </row>
    <row r="522" spans="1:12" ht="17.25" customHeight="1">
      <c r="A522" s="217" t="s">
        <v>743</v>
      </c>
      <c r="B522" s="308" t="s">
        <v>107</v>
      </c>
      <c r="C522" s="951">
        <f>CEILING((C521+25*$Z$1),0.1)</f>
        <v>81.30000000000001</v>
      </c>
      <c r="D522" s="952"/>
      <c r="E522" s="951">
        <f>CEILING((E521+25*$Z$1),0.1)</f>
        <v>87.60000000000001</v>
      </c>
      <c r="F522" s="952"/>
      <c r="G522" s="951">
        <f>CEILING((G521+25*$Z$1),0.1)</f>
        <v>81.30000000000001</v>
      </c>
      <c r="H522" s="952"/>
      <c r="I522" s="69"/>
      <c r="J522" s="69"/>
      <c r="K522" s="7"/>
      <c r="L522" s="7"/>
    </row>
    <row r="523" spans="1:12" ht="18.75" customHeight="1" thickBot="1">
      <c r="A523" s="199" t="s">
        <v>217</v>
      </c>
      <c r="B523" s="258" t="s">
        <v>97</v>
      </c>
      <c r="C523" s="967">
        <f>CEILING((C521*0.5),0.1)</f>
        <v>25</v>
      </c>
      <c r="D523" s="973"/>
      <c r="E523" s="967">
        <f>CEILING((E521*0.5),0.1)</f>
        <v>28.200000000000003</v>
      </c>
      <c r="F523" s="973"/>
      <c r="G523" s="967">
        <f>CEILING((G521*0.5),0.1)</f>
        <v>25</v>
      </c>
      <c r="H523" s="973"/>
      <c r="I523" s="69"/>
      <c r="J523" s="69"/>
      <c r="K523" s="7"/>
      <c r="L523" s="7"/>
    </row>
    <row r="524" spans="1:12" ht="16.5" customHeight="1" thickTop="1">
      <c r="A524" s="438" t="s">
        <v>387</v>
      </c>
      <c r="B524" s="439"/>
      <c r="C524" s="440"/>
      <c r="D524" s="440"/>
      <c r="E524" s="440"/>
      <c r="F524" s="440"/>
      <c r="G524" s="440"/>
      <c r="H524" s="440"/>
      <c r="I524" s="29"/>
      <c r="J524" s="29"/>
      <c r="K524" s="7"/>
      <c r="L524" s="7"/>
    </row>
    <row r="525" spans="1:12" ht="21.75" customHeight="1" thickBot="1">
      <c r="A525" s="398"/>
      <c r="B525" s="100"/>
      <c r="C525" s="68"/>
      <c r="D525" s="68"/>
      <c r="E525" s="68"/>
      <c r="F525" s="68"/>
      <c r="G525" s="68"/>
      <c r="H525" s="68"/>
      <c r="I525" s="29"/>
      <c r="J525" s="29"/>
      <c r="K525" s="7"/>
      <c r="L525" s="7"/>
    </row>
    <row r="526" spans="1:12" ht="24.75" customHeight="1" thickTop="1">
      <c r="A526" s="698" t="s">
        <v>4</v>
      </c>
      <c r="B526" s="62"/>
      <c r="C526" s="945" t="s">
        <v>592</v>
      </c>
      <c r="D526" s="946"/>
      <c r="E526" s="945" t="s">
        <v>593</v>
      </c>
      <c r="F526" s="946"/>
      <c r="G526" s="945" t="s">
        <v>594</v>
      </c>
      <c r="H526" s="964"/>
      <c r="I526" s="825"/>
      <c r="J526" s="29"/>
      <c r="K526" s="7"/>
      <c r="L526" s="7"/>
    </row>
    <row r="527" spans="1:12" ht="15">
      <c r="A527" s="215" t="s">
        <v>521</v>
      </c>
      <c r="B527" s="617" t="s">
        <v>48</v>
      </c>
      <c r="C527" s="981">
        <f>CEILING(41*$Z$1,0.1)</f>
        <v>51.300000000000004</v>
      </c>
      <c r="D527" s="982"/>
      <c r="E527" s="981">
        <f>CEILING(48*$Z$1,0.1)</f>
        <v>60</v>
      </c>
      <c r="F527" s="982"/>
      <c r="G527" s="981">
        <f>CEILING(41*$Z$1,0.1)</f>
        <v>51.300000000000004</v>
      </c>
      <c r="H527" s="982"/>
      <c r="I527" s="825"/>
      <c r="J527" s="29"/>
      <c r="K527" s="7"/>
      <c r="L527" s="7"/>
    </row>
    <row r="528" spans="1:12" ht="15">
      <c r="A528" s="653" t="s">
        <v>24</v>
      </c>
      <c r="B528" s="568" t="s">
        <v>7</v>
      </c>
      <c r="C528" s="951">
        <f>CEILING((C527+15*$Z$1),0.1)</f>
        <v>70.10000000000001</v>
      </c>
      <c r="D528" s="952"/>
      <c r="E528" s="951">
        <f>CEILING((E527+15*$Z$1),0.1)</f>
        <v>78.80000000000001</v>
      </c>
      <c r="F528" s="952"/>
      <c r="G528" s="951">
        <f>CEILING((G527+15*$Z$1),0.1)</f>
        <v>70.10000000000001</v>
      </c>
      <c r="H528" s="952"/>
      <c r="I528" s="825"/>
      <c r="J528" s="29"/>
      <c r="K528" s="7"/>
      <c r="L528" s="7"/>
    </row>
    <row r="529" spans="1:12" ht="16.5" customHeight="1">
      <c r="A529" s="571"/>
      <c r="B529" s="568" t="s">
        <v>9</v>
      </c>
      <c r="C529" s="951">
        <f>CEILING((C527*0.85),0.1)</f>
        <v>43.7</v>
      </c>
      <c r="D529" s="952"/>
      <c r="E529" s="951">
        <f>CEILING((E527*0.85),0.1)</f>
        <v>51</v>
      </c>
      <c r="F529" s="952"/>
      <c r="G529" s="951">
        <f>CEILING((G527*0.85),0.1)</f>
        <v>43.7</v>
      </c>
      <c r="H529" s="952"/>
      <c r="I529" s="29"/>
      <c r="J529" s="29"/>
      <c r="K529" s="7"/>
      <c r="L529" s="7"/>
    </row>
    <row r="530" spans="1:12" ht="16.5" customHeight="1">
      <c r="A530" s="654"/>
      <c r="B530" s="568" t="s">
        <v>97</v>
      </c>
      <c r="C530" s="961">
        <v>0</v>
      </c>
      <c r="D530" s="980"/>
      <c r="E530" s="961">
        <v>0</v>
      </c>
      <c r="F530" s="980"/>
      <c r="G530" s="961">
        <v>0</v>
      </c>
      <c r="H530" s="980"/>
      <c r="I530" s="29"/>
      <c r="J530" s="29"/>
      <c r="K530" s="7"/>
      <c r="L530" s="7"/>
    </row>
    <row r="531" spans="1:12" ht="16.5" customHeight="1">
      <c r="A531" s="655"/>
      <c r="B531" s="568" t="s">
        <v>174</v>
      </c>
      <c r="C531" s="947">
        <f>CEILING(51*$Z$1,0.1)</f>
        <v>63.800000000000004</v>
      </c>
      <c r="D531" s="957"/>
      <c r="E531" s="947">
        <f>CEILING(58*$Z$1,0.1)</f>
        <v>72.5</v>
      </c>
      <c r="F531" s="957"/>
      <c r="G531" s="947">
        <f>CEILING(51*$Z$1,0.1)</f>
        <v>63.800000000000004</v>
      </c>
      <c r="H531" s="957"/>
      <c r="I531" s="29"/>
      <c r="J531" s="29"/>
      <c r="K531" s="7"/>
      <c r="L531" s="7"/>
    </row>
    <row r="532" spans="1:12" ht="17.25" customHeight="1" thickBot="1">
      <c r="A532" s="526" t="s">
        <v>263</v>
      </c>
      <c r="B532" s="574" t="s">
        <v>175</v>
      </c>
      <c r="C532" s="967">
        <f>CEILING((C531+15*$Z$1),0.1)</f>
        <v>82.60000000000001</v>
      </c>
      <c r="D532" s="973"/>
      <c r="E532" s="967">
        <f>CEILING((E531+15*$Z$1),0.1)</f>
        <v>91.30000000000001</v>
      </c>
      <c r="F532" s="973"/>
      <c r="G532" s="967">
        <f>CEILING((G531+15*$Z$1),0.1)</f>
        <v>82.60000000000001</v>
      </c>
      <c r="H532" s="973"/>
      <c r="I532" s="29"/>
      <c r="J532" s="29"/>
      <c r="K532" s="7"/>
      <c r="L532" s="7"/>
    </row>
    <row r="533" spans="1:12" ht="17.25" customHeight="1" thickTop="1">
      <c r="A533" s="616" t="s">
        <v>744</v>
      </c>
      <c r="B533" s="575"/>
      <c r="C533" s="764"/>
      <c r="D533" s="764"/>
      <c r="E533" s="764"/>
      <c r="F533" s="764"/>
      <c r="G533" s="764"/>
      <c r="H533" s="764"/>
      <c r="I533" s="29"/>
      <c r="J533" s="29"/>
      <c r="K533" s="7"/>
      <c r="L533" s="7"/>
    </row>
    <row r="534" spans="1:12" ht="19.5" customHeight="1" thickBot="1">
      <c r="A534" s="398"/>
      <c r="B534" s="100"/>
      <c r="C534" s="68"/>
      <c r="D534" s="68"/>
      <c r="E534" s="45"/>
      <c r="F534" s="45"/>
      <c r="G534" s="45"/>
      <c r="H534" s="45"/>
      <c r="I534" s="29"/>
      <c r="J534" s="29"/>
      <c r="K534" s="7"/>
      <c r="L534" s="7"/>
    </row>
    <row r="535" spans="1:12" ht="24" customHeight="1" thickTop="1">
      <c r="A535" s="698" t="s">
        <v>4</v>
      </c>
      <c r="B535" s="62"/>
      <c r="C535" s="945" t="s">
        <v>625</v>
      </c>
      <c r="D535" s="964"/>
      <c r="E535" s="975"/>
      <c r="F535" s="976"/>
      <c r="G535" s="976"/>
      <c r="H535" s="976"/>
      <c r="I535" s="29"/>
      <c r="J535" s="29"/>
      <c r="K535" s="7"/>
      <c r="L535" s="7"/>
    </row>
    <row r="536" spans="1:12" ht="15.75" customHeight="1">
      <c r="A536" s="159" t="s">
        <v>314</v>
      </c>
      <c r="B536" s="287" t="s">
        <v>11</v>
      </c>
      <c r="C536" s="971">
        <f>CEILING(37*$Z$1,0.1)</f>
        <v>46.300000000000004</v>
      </c>
      <c r="D536" s="974"/>
      <c r="E536" s="947"/>
      <c r="F536" s="948"/>
      <c r="G536" s="948"/>
      <c r="H536" s="948"/>
      <c r="I536" s="29"/>
      <c r="J536" s="29"/>
      <c r="K536" s="7"/>
      <c r="L536" s="7"/>
    </row>
    <row r="537" spans="1:12" ht="18" customHeight="1">
      <c r="A537" s="163" t="s">
        <v>24</v>
      </c>
      <c r="B537" s="161" t="s">
        <v>7</v>
      </c>
      <c r="C537" s="971">
        <f>CEILING((C536+9*$Z$1),0.1)</f>
        <v>57.6</v>
      </c>
      <c r="D537" s="974"/>
      <c r="E537" s="947"/>
      <c r="F537" s="948"/>
      <c r="G537" s="948"/>
      <c r="H537" s="948"/>
      <c r="I537" s="29"/>
      <c r="J537" s="29"/>
      <c r="K537" s="7"/>
      <c r="L537" s="7"/>
    </row>
    <row r="538" spans="1:12" ht="16.5" customHeight="1">
      <c r="A538" s="782" t="s">
        <v>930</v>
      </c>
      <c r="B538" s="161" t="s">
        <v>9</v>
      </c>
      <c r="C538" s="971">
        <f>CEILING((C536*0.85),0.1)</f>
        <v>39.400000000000006</v>
      </c>
      <c r="D538" s="974"/>
      <c r="E538" s="947"/>
      <c r="F538" s="948"/>
      <c r="G538" s="948"/>
      <c r="H538" s="948"/>
      <c r="I538" s="29"/>
      <c r="J538" s="29"/>
      <c r="K538" s="7"/>
      <c r="L538" s="7"/>
    </row>
    <row r="539" spans="1:12" ht="18.75" customHeight="1">
      <c r="A539" s="782" t="s">
        <v>929</v>
      </c>
      <c r="B539" s="231" t="s">
        <v>312</v>
      </c>
      <c r="C539" s="992">
        <v>0</v>
      </c>
      <c r="D539" s="993"/>
      <c r="E539" s="949"/>
      <c r="F539" s="950"/>
      <c r="G539" s="950"/>
      <c r="H539" s="950"/>
      <c r="I539" s="29"/>
      <c r="J539" s="29"/>
      <c r="K539" s="7"/>
      <c r="L539" s="7"/>
    </row>
    <row r="540" spans="1:12" ht="17.25" customHeight="1" thickBot="1">
      <c r="A540" s="216" t="s">
        <v>213</v>
      </c>
      <c r="B540" s="397" t="s">
        <v>313</v>
      </c>
      <c r="C540" s="983">
        <f>CEILING((C536*0.7),0.1)</f>
        <v>32.5</v>
      </c>
      <c r="D540" s="984"/>
      <c r="E540" s="947"/>
      <c r="F540" s="948"/>
      <c r="G540" s="948"/>
      <c r="H540" s="948"/>
      <c r="I540" s="29"/>
      <c r="J540" s="29"/>
      <c r="K540" s="7"/>
      <c r="L540" s="7"/>
    </row>
    <row r="541" spans="1:12" ht="18.75" customHeight="1" thickBot="1" thickTop="1">
      <c r="A541" s="140"/>
      <c r="B541" s="100"/>
      <c r="C541" s="436"/>
      <c r="D541" s="436"/>
      <c r="E541" s="45"/>
      <c r="F541" s="45"/>
      <c r="G541" s="45"/>
      <c r="H541" s="45"/>
      <c r="I541" s="29"/>
      <c r="J541" s="29"/>
      <c r="K541" s="7"/>
      <c r="L541" s="7"/>
    </row>
    <row r="542" spans="1:12" ht="21" customHeight="1" thickTop="1">
      <c r="A542" s="698" t="s">
        <v>4</v>
      </c>
      <c r="B542" s="62"/>
      <c r="C542" s="945" t="s">
        <v>625</v>
      </c>
      <c r="D542" s="964"/>
      <c r="E542" s="975"/>
      <c r="F542" s="976"/>
      <c r="G542" s="976"/>
      <c r="H542" s="976"/>
      <c r="I542" s="29"/>
      <c r="J542" s="29"/>
      <c r="K542" s="7"/>
      <c r="L542" s="7"/>
    </row>
    <row r="543" spans="1:12" ht="17.25" customHeight="1">
      <c r="A543" s="159" t="s">
        <v>185</v>
      </c>
      <c r="B543" s="287" t="s">
        <v>11</v>
      </c>
      <c r="C543" s="971">
        <f>CEILING(40*$Z$1,0.1)</f>
        <v>50</v>
      </c>
      <c r="D543" s="974"/>
      <c r="E543" s="947"/>
      <c r="F543" s="948"/>
      <c r="G543" s="948"/>
      <c r="H543" s="948"/>
      <c r="I543" s="29"/>
      <c r="J543" s="29"/>
      <c r="K543" s="7"/>
      <c r="L543" s="7"/>
    </row>
    <row r="544" spans="1:12" ht="18" customHeight="1">
      <c r="A544" s="163" t="s">
        <v>24</v>
      </c>
      <c r="B544" s="161" t="s">
        <v>7</v>
      </c>
      <c r="C544" s="971">
        <f>CEILING((C543+10*$Z$1),0.1)</f>
        <v>62.5</v>
      </c>
      <c r="D544" s="974"/>
      <c r="E544" s="947"/>
      <c r="F544" s="948"/>
      <c r="G544" s="948"/>
      <c r="H544" s="948"/>
      <c r="I544" s="29"/>
      <c r="J544" s="29"/>
      <c r="K544" s="7"/>
      <c r="L544" s="7"/>
    </row>
    <row r="545" spans="1:12" ht="18" customHeight="1">
      <c r="A545" s="213"/>
      <c r="B545" s="161" t="s">
        <v>9</v>
      </c>
      <c r="C545" s="971">
        <f>CEILING((C543*0.85),0.1)</f>
        <v>42.5</v>
      </c>
      <c r="D545" s="974"/>
      <c r="E545" s="947"/>
      <c r="F545" s="948"/>
      <c r="G545" s="948"/>
      <c r="H545" s="948"/>
      <c r="I545" s="29"/>
      <c r="J545" s="29"/>
      <c r="K545" s="7"/>
      <c r="L545" s="7"/>
    </row>
    <row r="546" spans="1:12" ht="17.25" customHeight="1">
      <c r="A546" s="782" t="s">
        <v>930</v>
      </c>
      <c r="B546" s="231" t="s">
        <v>312</v>
      </c>
      <c r="C546" s="992">
        <v>0</v>
      </c>
      <c r="D546" s="993"/>
      <c r="E546" s="949"/>
      <c r="F546" s="950"/>
      <c r="G546" s="950"/>
      <c r="H546" s="950"/>
      <c r="I546" s="29"/>
      <c r="J546" s="29"/>
      <c r="K546" s="7"/>
      <c r="L546" s="7"/>
    </row>
    <row r="547" spans="1:12" ht="17.25" customHeight="1">
      <c r="A547" s="782" t="s">
        <v>929</v>
      </c>
      <c r="B547" s="396" t="s">
        <v>313</v>
      </c>
      <c r="C547" s="971">
        <f>CEILING((C543*0.7),0.1)</f>
        <v>35</v>
      </c>
      <c r="D547" s="974"/>
      <c r="E547" s="947"/>
      <c r="F547" s="948"/>
      <c r="G547" s="948"/>
      <c r="H547" s="948"/>
      <c r="I547" s="29"/>
      <c r="J547" s="29"/>
      <c r="K547" s="7"/>
      <c r="L547" s="7"/>
    </row>
    <row r="548" spans="1:12" ht="17.25" customHeight="1">
      <c r="A548" s="213"/>
      <c r="B548" s="161" t="s">
        <v>104</v>
      </c>
      <c r="C548" s="971">
        <f>CEILING((C543+2*$Z$1),0.1)</f>
        <v>52.5</v>
      </c>
      <c r="D548" s="974"/>
      <c r="E548" s="947"/>
      <c r="F548" s="948"/>
      <c r="G548" s="948"/>
      <c r="H548" s="948"/>
      <c r="I548" s="29"/>
      <c r="J548" s="29"/>
      <c r="K548" s="7"/>
      <c r="L548" s="7"/>
    </row>
    <row r="549" spans="1:12" ht="18" customHeight="1" thickBot="1">
      <c r="A549" s="216" t="s">
        <v>213</v>
      </c>
      <c r="B549" s="238" t="s">
        <v>105</v>
      </c>
      <c r="C549" s="983">
        <f>CEILING((C548+10*$Z$1),0.1)</f>
        <v>65</v>
      </c>
      <c r="D549" s="984"/>
      <c r="E549" s="947"/>
      <c r="F549" s="948"/>
      <c r="G549" s="948"/>
      <c r="H549" s="948"/>
      <c r="I549" s="29"/>
      <c r="J549" s="29"/>
      <c r="K549" s="7"/>
      <c r="L549" s="7"/>
    </row>
    <row r="550" spans="1:12" ht="25.5" customHeight="1" thickBot="1" thickTop="1">
      <c r="A550" s="260"/>
      <c r="B550" s="261"/>
      <c r="C550" s="393"/>
      <c r="D550" s="393"/>
      <c r="E550" s="935"/>
      <c r="F550" s="935"/>
      <c r="G550" s="935"/>
      <c r="H550" s="935"/>
      <c r="I550" s="29"/>
      <c r="J550" s="29"/>
      <c r="K550" s="7"/>
      <c r="L550" s="7"/>
    </row>
    <row r="551" spans="1:12" ht="21.75" customHeight="1" thickTop="1">
      <c r="A551" s="698" t="s">
        <v>4</v>
      </c>
      <c r="B551" s="148"/>
      <c r="C551" s="945" t="s">
        <v>625</v>
      </c>
      <c r="D551" s="964"/>
      <c r="E551" s="975"/>
      <c r="F551" s="976"/>
      <c r="G551" s="976"/>
      <c r="H551" s="976"/>
      <c r="I551" s="12"/>
      <c r="J551" s="25"/>
      <c r="K551" s="12"/>
      <c r="L551" s="12"/>
    </row>
    <row r="552" spans="1:12" ht="15">
      <c r="A552" s="218" t="s">
        <v>199</v>
      </c>
      <c r="B552" s="42" t="s">
        <v>11</v>
      </c>
      <c r="C552" s="971">
        <f>CEILING(45*$Z$1,0.1)</f>
        <v>56.300000000000004</v>
      </c>
      <c r="D552" s="974"/>
      <c r="E552" s="947"/>
      <c r="F552" s="948"/>
      <c r="G552" s="948"/>
      <c r="H552" s="948"/>
      <c r="I552" s="7"/>
      <c r="J552" s="1"/>
      <c r="K552" s="1"/>
      <c r="L552" s="1"/>
    </row>
    <row r="553" spans="1:12" ht="14.25">
      <c r="A553" s="782" t="s">
        <v>930</v>
      </c>
      <c r="B553" s="42" t="s">
        <v>7</v>
      </c>
      <c r="C553" s="971">
        <f>CEILING((C552+8*$Z$1),0.1)</f>
        <v>66.3</v>
      </c>
      <c r="D553" s="974"/>
      <c r="E553" s="947"/>
      <c r="F553" s="948"/>
      <c r="G553" s="948"/>
      <c r="H553" s="948"/>
      <c r="I553" s="69"/>
      <c r="J553" s="69"/>
      <c r="K553" s="1"/>
      <c r="L553" s="1"/>
    </row>
    <row r="554" spans="1:12" ht="14.25">
      <c r="A554" s="782" t="s">
        <v>929</v>
      </c>
      <c r="B554" s="231" t="s">
        <v>312</v>
      </c>
      <c r="C554" s="992">
        <v>0</v>
      </c>
      <c r="D554" s="993"/>
      <c r="E554" s="949"/>
      <c r="F554" s="950"/>
      <c r="G554" s="950"/>
      <c r="H554" s="950"/>
      <c r="I554" s="69"/>
      <c r="J554" s="69"/>
      <c r="K554" s="1"/>
      <c r="L554" s="1"/>
    </row>
    <row r="555" spans="1:12" ht="15" thickBot="1">
      <c r="A555" s="207" t="s">
        <v>306</v>
      </c>
      <c r="B555" s="400" t="s">
        <v>313</v>
      </c>
      <c r="C555" s="983">
        <f>CEILING((C552*0.7),0.1)</f>
        <v>39.5</v>
      </c>
      <c r="D555" s="984"/>
      <c r="E555" s="947"/>
      <c r="F555" s="948"/>
      <c r="G555" s="948"/>
      <c r="H555" s="948"/>
      <c r="I555" s="69"/>
      <c r="J555" s="69"/>
      <c r="K555" s="1"/>
      <c r="L555" s="1"/>
    </row>
    <row r="556" spans="1:12" ht="20.25" customHeight="1" thickBot="1" thickTop="1">
      <c r="A556" s="262"/>
      <c r="B556" s="263"/>
      <c r="C556" s="395"/>
      <c r="D556" s="395"/>
      <c r="E556" s="937"/>
      <c r="F556" s="937"/>
      <c r="G556" s="937"/>
      <c r="H556" s="937"/>
      <c r="I556" s="29"/>
      <c r="J556" s="29"/>
      <c r="K556" s="7"/>
      <c r="L556" s="7"/>
    </row>
    <row r="557" spans="1:12" ht="24.75" customHeight="1" thickTop="1">
      <c r="A557" s="698" t="s">
        <v>4</v>
      </c>
      <c r="B557" s="62"/>
      <c r="C557" s="945" t="s">
        <v>625</v>
      </c>
      <c r="D557" s="964"/>
      <c r="E557" s="975"/>
      <c r="F557" s="976"/>
      <c r="G557" s="976"/>
      <c r="H557" s="976"/>
      <c r="I557" s="17"/>
      <c r="J557" s="17"/>
      <c r="K557" s="1"/>
      <c r="L557" s="1"/>
    </row>
    <row r="558" spans="1:12" ht="15">
      <c r="A558" s="215" t="s">
        <v>72</v>
      </c>
      <c r="B558" s="42" t="s">
        <v>11</v>
      </c>
      <c r="C558" s="971">
        <f>CEILING(33*$Z$1,0.1)</f>
        <v>41.300000000000004</v>
      </c>
      <c r="D558" s="974"/>
      <c r="E558" s="947"/>
      <c r="F558" s="948"/>
      <c r="G558" s="948"/>
      <c r="H558" s="948"/>
      <c r="I558" s="7"/>
      <c r="J558" s="1"/>
      <c r="K558" s="1"/>
      <c r="L558" s="1"/>
    </row>
    <row r="559" spans="1:12" ht="14.25">
      <c r="A559" s="217" t="s">
        <v>58</v>
      </c>
      <c r="B559" s="42" t="s">
        <v>7</v>
      </c>
      <c r="C559" s="971">
        <f>CEILING((C558+9*$Z$1),0.1)</f>
        <v>52.6</v>
      </c>
      <c r="D559" s="974"/>
      <c r="E559" s="947"/>
      <c r="F559" s="948"/>
      <c r="G559" s="948"/>
      <c r="H559" s="948"/>
      <c r="I559" s="1"/>
      <c r="J559" s="1"/>
      <c r="K559" s="1"/>
      <c r="L559" s="1"/>
    </row>
    <row r="560" spans="1:12" ht="14.25">
      <c r="A560" s="782" t="s">
        <v>929</v>
      </c>
      <c r="B560" s="231" t="s">
        <v>312</v>
      </c>
      <c r="C560" s="992">
        <v>0</v>
      </c>
      <c r="D560" s="993"/>
      <c r="E560" s="949"/>
      <c r="F560" s="950"/>
      <c r="G560" s="950"/>
      <c r="H560" s="950"/>
      <c r="I560" s="1"/>
      <c r="J560" s="1"/>
      <c r="K560" s="1"/>
      <c r="L560" s="1"/>
    </row>
    <row r="561" spans="1:12" ht="15" thickBot="1">
      <c r="A561" s="207" t="s">
        <v>306</v>
      </c>
      <c r="B561" s="400" t="s">
        <v>313</v>
      </c>
      <c r="C561" s="983">
        <f>CEILING((C558*0.7),0.1)</f>
        <v>29</v>
      </c>
      <c r="D561" s="984"/>
      <c r="E561" s="947"/>
      <c r="F561" s="948"/>
      <c r="G561" s="948"/>
      <c r="H561" s="948"/>
      <c r="I561" s="1"/>
      <c r="J561" s="1"/>
      <c r="K561" s="1"/>
      <c r="L561" s="1"/>
    </row>
    <row r="562" spans="1:12" ht="17.25" customHeight="1" thickBot="1" thickTop="1">
      <c r="A562" s="71"/>
      <c r="B562" s="71"/>
      <c r="C562" s="131"/>
      <c r="D562" s="131"/>
      <c r="E562" s="533"/>
      <c r="F562" s="533"/>
      <c r="G562" s="533"/>
      <c r="H562" s="533"/>
      <c r="I562" s="29"/>
      <c r="J562" s="29"/>
      <c r="K562" s="1"/>
      <c r="L562" s="1"/>
    </row>
    <row r="563" spans="1:12" ht="22.5" customHeight="1" thickTop="1">
      <c r="A563" s="698" t="s">
        <v>4</v>
      </c>
      <c r="B563" s="62"/>
      <c r="C563" s="945" t="s">
        <v>625</v>
      </c>
      <c r="D563" s="964"/>
      <c r="E563" s="975"/>
      <c r="F563" s="976"/>
      <c r="G563" s="976"/>
      <c r="H563" s="976"/>
      <c r="I563" s="12"/>
      <c r="J563" s="25"/>
      <c r="K563" s="1"/>
      <c r="L563" s="1"/>
    </row>
    <row r="564" spans="1:12" ht="15">
      <c r="A564" s="218" t="s">
        <v>311</v>
      </c>
      <c r="B564" s="178" t="s">
        <v>11</v>
      </c>
      <c r="C564" s="971">
        <f>CEILING(32*$Z$1,0.1)</f>
        <v>40</v>
      </c>
      <c r="D564" s="974"/>
      <c r="E564" s="947"/>
      <c r="F564" s="948"/>
      <c r="G564" s="948"/>
      <c r="H564" s="948"/>
      <c r="I564" s="17"/>
      <c r="J564" s="17"/>
      <c r="K564" s="1"/>
      <c r="L564" s="1"/>
    </row>
    <row r="565" spans="1:12" ht="14.25">
      <c r="A565" s="217" t="s">
        <v>58</v>
      </c>
      <c r="B565" s="19" t="s">
        <v>7</v>
      </c>
      <c r="C565" s="971">
        <f>CEILING((C564+8*$Z$1),0.1)</f>
        <v>50</v>
      </c>
      <c r="D565" s="974"/>
      <c r="E565" s="947"/>
      <c r="F565" s="948"/>
      <c r="G565" s="948"/>
      <c r="H565" s="948"/>
      <c r="I565" s="69"/>
      <c r="J565" s="69"/>
      <c r="K565" s="1"/>
      <c r="L565" s="1"/>
    </row>
    <row r="566" spans="1:12" ht="14.25">
      <c r="A566" s="782" t="s">
        <v>930</v>
      </c>
      <c r="B566" s="231" t="s">
        <v>312</v>
      </c>
      <c r="C566" s="992">
        <v>0</v>
      </c>
      <c r="D566" s="993"/>
      <c r="E566" s="949"/>
      <c r="F566" s="950"/>
      <c r="G566" s="950"/>
      <c r="H566" s="950"/>
      <c r="I566" s="69"/>
      <c r="J566" s="69"/>
      <c r="K566" s="1"/>
      <c r="L566" s="1"/>
    </row>
    <row r="567" spans="1:12" ht="14.25">
      <c r="A567" s="782" t="s">
        <v>929</v>
      </c>
      <c r="B567" s="396" t="s">
        <v>313</v>
      </c>
      <c r="C567" s="971">
        <f>CEILING((C564*0.7),0.1)</f>
        <v>28</v>
      </c>
      <c r="D567" s="974"/>
      <c r="E567" s="947"/>
      <c r="F567" s="948"/>
      <c r="G567" s="948"/>
      <c r="H567" s="948"/>
      <c r="I567" s="69"/>
      <c r="J567" s="69"/>
      <c r="K567" s="1"/>
      <c r="L567" s="1"/>
    </row>
    <row r="568" spans="1:12" ht="14.25">
      <c r="A568" s="219"/>
      <c r="B568" s="183" t="s">
        <v>116</v>
      </c>
      <c r="C568" s="971">
        <f>CEILING(80*$Z$1,0.1)</f>
        <v>100</v>
      </c>
      <c r="D568" s="974"/>
      <c r="E568" s="947"/>
      <c r="F568" s="948"/>
      <c r="G568" s="948"/>
      <c r="H568" s="948"/>
      <c r="I568" s="69"/>
      <c r="J568" s="69"/>
      <c r="K568" s="1"/>
      <c r="L568" s="1"/>
    </row>
    <row r="569" spans="1:12" ht="15" thickBot="1">
      <c r="A569" s="207" t="s">
        <v>214</v>
      </c>
      <c r="B569" s="220" t="s">
        <v>117</v>
      </c>
      <c r="C569" s="983">
        <f>CEILING(152*$Z$1,0.1)</f>
        <v>190</v>
      </c>
      <c r="D569" s="984"/>
      <c r="E569" s="947"/>
      <c r="F569" s="948"/>
      <c r="G569" s="948"/>
      <c r="H569" s="948"/>
      <c r="I569" s="29"/>
      <c r="J569" s="29"/>
      <c r="K569" s="1"/>
      <c r="L569" s="1"/>
    </row>
    <row r="570" spans="1:12" ht="21" customHeight="1" thickBot="1" thickTop="1">
      <c r="A570" s="140"/>
      <c r="B570" s="54"/>
      <c r="C570" s="131"/>
      <c r="D570" s="131"/>
      <c r="E570" s="533"/>
      <c r="F570" s="533"/>
      <c r="G570" s="533"/>
      <c r="H570" s="533"/>
      <c r="I570" s="29"/>
      <c r="J570" s="29"/>
      <c r="K570" s="1"/>
      <c r="L570" s="1"/>
    </row>
    <row r="571" spans="1:12" ht="24" customHeight="1" thickTop="1">
      <c r="A571" s="874" t="s">
        <v>4</v>
      </c>
      <c r="B571" s="875" t="s">
        <v>823</v>
      </c>
      <c r="C571" s="945" t="s">
        <v>625</v>
      </c>
      <c r="D571" s="964"/>
      <c r="E571" s="975"/>
      <c r="F571" s="976"/>
      <c r="G571" s="976"/>
      <c r="H571" s="976"/>
      <c r="I571" s="29"/>
      <c r="J571" s="29"/>
      <c r="K571" s="1"/>
      <c r="L571" s="1"/>
    </row>
    <row r="572" spans="1:12" ht="15">
      <c r="A572" s="218" t="s">
        <v>310</v>
      </c>
      <c r="B572" s="42" t="s">
        <v>11</v>
      </c>
      <c r="C572" s="987">
        <f>CEILING(23*$Z$1,0.1)</f>
        <v>28.8</v>
      </c>
      <c r="D572" s="988"/>
      <c r="E572" s="951"/>
      <c r="F572" s="989"/>
      <c r="G572" s="954"/>
      <c r="H572" s="989"/>
      <c r="I572" s="1"/>
      <c r="J572" s="1"/>
      <c r="K572" s="1"/>
      <c r="L572" s="1"/>
    </row>
    <row r="573" spans="1:12" ht="14.25">
      <c r="A573" s="782" t="s">
        <v>930</v>
      </c>
      <c r="B573" s="42" t="s">
        <v>7</v>
      </c>
      <c r="C573" s="955">
        <f>CEILING((C572+4*$Z$1),0.1)</f>
        <v>33.800000000000004</v>
      </c>
      <c r="D573" s="977"/>
      <c r="E573" s="951"/>
      <c r="F573" s="989"/>
      <c r="G573" s="954"/>
      <c r="H573" s="989"/>
      <c r="I573" s="69"/>
      <c r="J573" s="69"/>
      <c r="K573" s="1"/>
      <c r="L573" s="1"/>
    </row>
    <row r="574" spans="1:12" ht="14.25">
      <c r="A574" s="782" t="s">
        <v>929</v>
      </c>
      <c r="B574" s="231" t="s">
        <v>312</v>
      </c>
      <c r="C574" s="955">
        <v>0</v>
      </c>
      <c r="D574" s="977"/>
      <c r="E574" s="951"/>
      <c r="F574" s="989"/>
      <c r="G574" s="954"/>
      <c r="H574" s="989"/>
      <c r="I574" s="69"/>
      <c r="J574" s="69"/>
      <c r="K574" s="1"/>
      <c r="L574" s="1"/>
    </row>
    <row r="575" spans="1:12" ht="15" thickBot="1">
      <c r="A575" s="207" t="s">
        <v>306</v>
      </c>
      <c r="B575" s="400" t="s">
        <v>313</v>
      </c>
      <c r="C575" s="978">
        <f>CEILING((C572*0.7),0.1)</f>
        <v>20.200000000000003</v>
      </c>
      <c r="D575" s="979"/>
      <c r="E575" s="951"/>
      <c r="F575" s="989"/>
      <c r="G575" s="954"/>
      <c r="H575" s="989"/>
      <c r="I575" s="69"/>
      <c r="J575" s="69"/>
      <c r="K575" s="1"/>
      <c r="L575" s="1"/>
    </row>
    <row r="576" spans="1:12" ht="15" thickTop="1">
      <c r="A576" s="876" t="s">
        <v>822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" thickBot="1">
      <c r="A577" s="74"/>
      <c r="B577" s="1"/>
      <c r="C577" s="10"/>
      <c r="D577" s="10"/>
      <c r="E577" s="10"/>
      <c r="F577" s="10"/>
      <c r="G577" s="10"/>
      <c r="H577" s="10"/>
      <c r="I577" s="1"/>
      <c r="J577" s="1"/>
      <c r="K577" s="1"/>
      <c r="L577" s="1"/>
    </row>
    <row r="578" spans="1:12" ht="23.25" customHeight="1" thickTop="1">
      <c r="A578" s="874" t="s">
        <v>4</v>
      </c>
      <c r="B578" s="875" t="s">
        <v>823</v>
      </c>
      <c r="C578" s="945" t="s">
        <v>592</v>
      </c>
      <c r="D578" s="946"/>
      <c r="E578" s="945" t="s">
        <v>593</v>
      </c>
      <c r="F578" s="946"/>
      <c r="G578" s="945" t="s">
        <v>594</v>
      </c>
      <c r="H578" s="964"/>
      <c r="I578" s="6"/>
      <c r="J578" s="1"/>
      <c r="K578" s="1"/>
      <c r="L578" s="1"/>
    </row>
    <row r="579" spans="1:12" ht="15">
      <c r="A579" s="218" t="s">
        <v>824</v>
      </c>
      <c r="B579" s="42" t="s">
        <v>11</v>
      </c>
      <c r="C579" s="981">
        <f>CEILING(22*$Z$1,0.1)</f>
        <v>27.5</v>
      </c>
      <c r="D579" s="986"/>
      <c r="E579" s="981">
        <f>CEILING(25*$Z$1,0.1)</f>
        <v>31.3</v>
      </c>
      <c r="F579" s="986"/>
      <c r="G579" s="981">
        <f>CEILING(22*$Z$1,0.1)</f>
        <v>27.5</v>
      </c>
      <c r="H579" s="986"/>
      <c r="I579" s="1"/>
      <c r="J579" s="1"/>
      <c r="K579" s="1"/>
      <c r="L579" s="1"/>
    </row>
    <row r="580" spans="1:12" ht="14.25">
      <c r="A580" s="259"/>
      <c r="B580" s="42" t="s">
        <v>7</v>
      </c>
      <c r="C580" s="951">
        <f>CEILING((C579+4*$Z$1),0.1)</f>
        <v>32.5</v>
      </c>
      <c r="D580" s="985"/>
      <c r="E580" s="951">
        <f>CEILING((E579+6*$Z$1),0.1)</f>
        <v>38.800000000000004</v>
      </c>
      <c r="F580" s="985"/>
      <c r="G580" s="951">
        <f>CEILING((G579+4*$Z$1),0.1)</f>
        <v>32.5</v>
      </c>
      <c r="H580" s="985"/>
      <c r="I580" s="1"/>
      <c r="J580" s="1"/>
      <c r="K580" s="1"/>
      <c r="L580" s="1"/>
    </row>
    <row r="581" spans="1:12" ht="14.25">
      <c r="A581" s="399"/>
      <c r="B581" s="231" t="s">
        <v>312</v>
      </c>
      <c r="C581" s="951">
        <v>0</v>
      </c>
      <c r="D581" s="985"/>
      <c r="E581" s="951">
        <v>0</v>
      </c>
      <c r="F581" s="985"/>
      <c r="G581" s="951">
        <v>0</v>
      </c>
      <c r="H581" s="985"/>
      <c r="I581" s="1"/>
      <c r="J581" s="1"/>
      <c r="K581" s="1"/>
      <c r="L581" s="1"/>
    </row>
    <row r="582" spans="1:12" ht="15" thickBot="1">
      <c r="A582" s="207" t="s">
        <v>306</v>
      </c>
      <c r="B582" s="400" t="s">
        <v>313</v>
      </c>
      <c r="C582" s="967">
        <f>CEILING((C579*0.7),0.1)</f>
        <v>19.3</v>
      </c>
      <c r="D582" s="994"/>
      <c r="E582" s="967">
        <f>CEILING((E579*0.7),0.1)</f>
        <v>22</v>
      </c>
      <c r="F582" s="994"/>
      <c r="G582" s="967">
        <f>CEILING((G579*0.7),0.1)</f>
        <v>19.3</v>
      </c>
      <c r="H582" s="994"/>
      <c r="I582" s="1"/>
      <c r="J582" s="1"/>
      <c r="K582" s="1"/>
      <c r="L582" s="1"/>
    </row>
    <row r="583" spans="1:12" ht="15" thickTop="1">
      <c r="A583" s="876" t="s">
        <v>822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4.25">
      <c r="A584" s="7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">
      <c r="A587" s="1121" t="s">
        <v>155</v>
      </c>
      <c r="B587" s="1121"/>
      <c r="C587" s="1121"/>
      <c r="D587" s="1121"/>
      <c r="E587" s="1121"/>
      <c r="F587" s="1121"/>
      <c r="G587" s="1121"/>
      <c r="H587" s="1121"/>
      <c r="I587" s="1"/>
      <c r="J587" s="1"/>
      <c r="K587" s="1"/>
      <c r="L587" s="1"/>
    </row>
    <row r="588" spans="1:12" ht="15" thickBot="1">
      <c r="A588" s="10"/>
      <c r="B588" s="10"/>
      <c r="C588" s="10"/>
      <c r="D588" s="10"/>
      <c r="E588" s="10"/>
      <c r="F588" s="10"/>
      <c r="G588" s="10"/>
      <c r="H588" s="10"/>
      <c r="I588" s="1"/>
      <c r="J588" s="1"/>
      <c r="K588" s="1"/>
      <c r="L588" s="1"/>
    </row>
    <row r="589" spans="1:12" ht="15.75" thickTop="1">
      <c r="A589" s="1000" t="s">
        <v>4</v>
      </c>
      <c r="B589" s="75"/>
      <c r="C589" s="1002" t="s">
        <v>592</v>
      </c>
      <c r="D589" s="1096"/>
      <c r="E589" s="1002" t="s">
        <v>593</v>
      </c>
      <c r="F589" s="1096"/>
      <c r="G589" s="1002" t="s">
        <v>594</v>
      </c>
      <c r="H589" s="1096"/>
      <c r="I589" s="1"/>
      <c r="J589" s="1"/>
      <c r="K589" s="1"/>
      <c r="L589" s="1"/>
    </row>
    <row r="590" spans="1:12" ht="15">
      <c r="A590" s="1001"/>
      <c r="B590" s="75"/>
      <c r="C590" s="301" t="s">
        <v>70</v>
      </c>
      <c r="D590" s="301"/>
      <c r="E590" s="301" t="s">
        <v>70</v>
      </c>
      <c r="F590" s="301"/>
      <c r="G590" s="301" t="s">
        <v>70</v>
      </c>
      <c r="H590" s="301"/>
      <c r="I590" s="1"/>
      <c r="J590" s="1"/>
      <c r="K590" s="1"/>
      <c r="L590" s="1"/>
    </row>
    <row r="591" spans="1:12" ht="16.5" customHeight="1">
      <c r="A591" s="221" t="s">
        <v>3</v>
      </c>
      <c r="B591" s="789" t="s">
        <v>11</v>
      </c>
      <c r="C591" s="848">
        <f>CEILING(92*$Z$1,0.1)</f>
        <v>115</v>
      </c>
      <c r="D591" s="247"/>
      <c r="E591" s="848">
        <f>CEILING(109*$Z$1,0.1)</f>
        <v>136.3</v>
      </c>
      <c r="F591" s="247"/>
      <c r="G591" s="848">
        <f>CEILING(92*$Z$1,0.1)</f>
        <v>115</v>
      </c>
      <c r="H591" s="247"/>
      <c r="I591" s="7"/>
      <c r="J591" s="1"/>
      <c r="K591" s="1"/>
      <c r="L591" s="1"/>
    </row>
    <row r="592" spans="1:12" ht="15.75" customHeight="1">
      <c r="A592" s="192" t="s">
        <v>6</v>
      </c>
      <c r="B592" s="784" t="s">
        <v>7</v>
      </c>
      <c r="C592" s="844">
        <f>CEILING((C591+40*$Z$1),0.1)</f>
        <v>165</v>
      </c>
      <c r="D592" s="76"/>
      <c r="E592" s="844">
        <f>CEILING((E591+40*$Z$1),0.1)</f>
        <v>186.3</v>
      </c>
      <c r="F592" s="76"/>
      <c r="G592" s="844">
        <f>CEILING((G591+40*$Z$1),0.1)</f>
        <v>165</v>
      </c>
      <c r="H592" s="76"/>
      <c r="I592" s="7"/>
      <c r="J592" s="1"/>
      <c r="K592" s="1"/>
      <c r="L592" s="1"/>
    </row>
    <row r="593" spans="1:12" ht="15.75" customHeight="1">
      <c r="A593" s="222"/>
      <c r="B593" s="838" t="s">
        <v>796</v>
      </c>
      <c r="C593" s="844">
        <f>CEILING(102*$Z$1,0.1)</f>
        <v>127.5</v>
      </c>
      <c r="D593" s="76"/>
      <c r="E593" s="844">
        <f>CEILING(119*$Z$1,0.1)</f>
        <v>148.8</v>
      </c>
      <c r="F593" s="76"/>
      <c r="G593" s="844">
        <f>CEILING(102*$Z$1,0.1)</f>
        <v>127.5</v>
      </c>
      <c r="H593" s="76"/>
      <c r="I593" s="7"/>
      <c r="J593" s="1"/>
      <c r="K593" s="1"/>
      <c r="L593" s="1"/>
    </row>
    <row r="594" spans="1:12" ht="15">
      <c r="A594" s="861"/>
      <c r="B594" s="784" t="s">
        <v>797</v>
      </c>
      <c r="C594" s="844">
        <f>CEILING((C593+40*$Z$1),0.1)</f>
        <v>177.5</v>
      </c>
      <c r="D594" s="76"/>
      <c r="E594" s="844">
        <f>CEILING((E593+40*$Z$1),0.1)</f>
        <v>198.8</v>
      </c>
      <c r="F594" s="76"/>
      <c r="G594" s="844">
        <f>CEILING((G593+40*$Z$1),0.1)</f>
        <v>177.5</v>
      </c>
      <c r="H594" s="76"/>
      <c r="I594" s="7"/>
      <c r="J594" s="1"/>
      <c r="K594" s="1"/>
      <c r="L594" s="1"/>
    </row>
    <row r="595" spans="1:12" ht="16.5" customHeight="1">
      <c r="A595" s="861"/>
      <c r="B595" s="838" t="s">
        <v>799</v>
      </c>
      <c r="C595" s="844">
        <f>CEILING((C593*0.85),0.1)</f>
        <v>108.4</v>
      </c>
      <c r="D595" s="76"/>
      <c r="E595" s="844">
        <f>CEILING((E593*0.85),0.1)</f>
        <v>126.5</v>
      </c>
      <c r="F595" s="76"/>
      <c r="G595" s="844">
        <f>CEILING((G593*0.85),0.1)</f>
        <v>108.4</v>
      </c>
      <c r="H595" s="76"/>
      <c r="I595" s="7"/>
      <c r="J595" s="1"/>
      <c r="K595" s="1"/>
      <c r="L595" s="1"/>
    </row>
    <row r="596" spans="1:12" ht="15">
      <c r="A596" s="861"/>
      <c r="B596" s="164" t="s">
        <v>13</v>
      </c>
      <c r="C596" s="844">
        <f>CEILING(107*$Z$1,0.1)</f>
        <v>133.8</v>
      </c>
      <c r="D596" s="76"/>
      <c r="E596" s="844">
        <f>CEILING(124*$Z$1,0.1)</f>
        <v>155</v>
      </c>
      <c r="F596" s="76"/>
      <c r="G596" s="844">
        <f>CEILING(107*$Z$1,0.1)</f>
        <v>133.8</v>
      </c>
      <c r="H596" s="76"/>
      <c r="I596" s="7"/>
      <c r="J596" s="1"/>
      <c r="K596" s="1"/>
      <c r="L596" s="1"/>
    </row>
    <row r="597" spans="1:12" ht="16.5" customHeight="1" thickBot="1">
      <c r="A597" s="223" t="s">
        <v>230</v>
      </c>
      <c r="B597" s="165" t="s">
        <v>62</v>
      </c>
      <c r="C597" s="844">
        <f>CEILING((C596+40*$Z$1),0.1)</f>
        <v>183.8</v>
      </c>
      <c r="D597" s="77"/>
      <c r="E597" s="844">
        <f>CEILING((E596+40*$Z$1),0.1)</f>
        <v>205</v>
      </c>
      <c r="F597" s="77"/>
      <c r="G597" s="844">
        <f>CEILING((G596+40*$Z$1),0.1)</f>
        <v>183.8</v>
      </c>
      <c r="H597" s="77"/>
      <c r="I597" s="7"/>
      <c r="J597" s="1"/>
      <c r="K597" s="1"/>
      <c r="L597" s="1"/>
    </row>
    <row r="598" spans="1:12" ht="15" thickTop="1">
      <c r="A598" s="1007" t="s">
        <v>798</v>
      </c>
      <c r="B598" s="1007"/>
      <c r="C598" s="1007"/>
      <c r="D598" s="1007"/>
      <c r="E598" s="1007"/>
      <c r="F598" s="1007"/>
      <c r="G598" s="1007"/>
      <c r="H598" s="1007"/>
      <c r="I598" s="1"/>
      <c r="J598" s="1"/>
      <c r="K598" s="1"/>
      <c r="L598" s="1"/>
    </row>
    <row r="599" spans="1:12" ht="15" thickBot="1">
      <c r="A599" s="852"/>
      <c r="B599" s="850"/>
      <c r="C599" s="852"/>
      <c r="D599" s="852"/>
      <c r="E599" s="852"/>
      <c r="F599" s="852"/>
      <c r="G599" s="852"/>
      <c r="H599" s="852"/>
      <c r="I599" s="1"/>
      <c r="J599" s="1"/>
      <c r="K599" s="1"/>
      <c r="L599" s="1"/>
    </row>
    <row r="600" spans="1:12" ht="15.75" thickTop="1">
      <c r="A600" s="1000" t="s">
        <v>4</v>
      </c>
      <c r="B600" s="75"/>
      <c r="C600" s="1002" t="s">
        <v>592</v>
      </c>
      <c r="D600" s="1003"/>
      <c r="E600" s="1004"/>
      <c r="F600" s="1005"/>
      <c r="G600" s="1005"/>
      <c r="H600" s="1005"/>
      <c r="I600" s="1"/>
      <c r="J600" s="1"/>
      <c r="K600" s="1"/>
      <c r="L600" s="1"/>
    </row>
    <row r="601" spans="1:12" ht="15">
      <c r="A601" s="1001"/>
      <c r="B601" s="75"/>
      <c r="C601" s="301" t="s">
        <v>70</v>
      </c>
      <c r="D601" s="864"/>
      <c r="E601" s="868"/>
      <c r="F601" s="865"/>
      <c r="G601" s="865"/>
      <c r="H601" s="865"/>
      <c r="I601" s="1"/>
      <c r="J601" s="1"/>
      <c r="K601" s="1"/>
      <c r="L601" s="1"/>
    </row>
    <row r="602" spans="1:12" ht="17.25" customHeight="1">
      <c r="A602" s="221" t="s">
        <v>804</v>
      </c>
      <c r="B602" s="789" t="s">
        <v>11</v>
      </c>
      <c r="C602" s="848">
        <f>CEILING(45*$Z$1,0.1)</f>
        <v>56.300000000000004</v>
      </c>
      <c r="D602" s="747">
        <f>C602+21</f>
        <v>77.30000000000001</v>
      </c>
      <c r="E602" s="863"/>
      <c r="F602" s="867"/>
      <c r="G602" s="866"/>
      <c r="H602" s="867"/>
      <c r="I602" s="1"/>
      <c r="J602" s="1"/>
      <c r="K602" s="1"/>
      <c r="L602" s="1"/>
    </row>
    <row r="603" spans="1:12" ht="18.75" customHeight="1" thickBot="1">
      <c r="A603" s="223" t="s">
        <v>803</v>
      </c>
      <c r="B603" s="784" t="s">
        <v>7</v>
      </c>
      <c r="C603" s="844">
        <f>CEILING((C602+20*$Z$1),0.1)</f>
        <v>81.30000000000001</v>
      </c>
      <c r="D603" s="814">
        <f>C603+21</f>
        <v>102.30000000000001</v>
      </c>
      <c r="E603" s="863"/>
      <c r="F603" s="867"/>
      <c r="G603" s="866"/>
      <c r="H603" s="867"/>
      <c r="I603" s="1"/>
      <c r="J603" s="1"/>
      <c r="K603" s="1"/>
      <c r="L603" s="1"/>
    </row>
    <row r="604" spans="1:12" ht="15" thickTop="1">
      <c r="A604" s="1006" t="s">
        <v>811</v>
      </c>
      <c r="B604" s="1007"/>
      <c r="C604" s="1007"/>
      <c r="D604" s="1007"/>
      <c r="E604" s="1008"/>
      <c r="F604" s="1008"/>
      <c r="G604" s="1008"/>
      <c r="H604" s="1008"/>
      <c r="I604" s="1"/>
      <c r="J604" s="1"/>
      <c r="K604" s="1"/>
      <c r="L604" s="1"/>
    </row>
    <row r="605" spans="1:12" ht="18" customHeight="1" thickBot="1">
      <c r="A605" s="89"/>
      <c r="B605" s="89"/>
      <c r="C605" s="89"/>
      <c r="D605" s="89"/>
      <c r="E605" s="89"/>
      <c r="F605" s="89"/>
      <c r="G605" s="89"/>
      <c r="H605" s="89"/>
      <c r="I605" s="1"/>
      <c r="J605" s="1"/>
      <c r="K605" s="1"/>
      <c r="L605" s="1"/>
    </row>
    <row r="606" spans="1:12" ht="22.5" customHeight="1" thickTop="1">
      <c r="A606" s="698" t="s">
        <v>4</v>
      </c>
      <c r="B606" s="370" t="s">
        <v>195</v>
      </c>
      <c r="C606" s="945" t="s">
        <v>592</v>
      </c>
      <c r="D606" s="946"/>
      <c r="E606" s="945" t="s">
        <v>593</v>
      </c>
      <c r="F606" s="946"/>
      <c r="G606" s="945" t="s">
        <v>594</v>
      </c>
      <c r="H606" s="964"/>
      <c r="I606" s="288"/>
      <c r="J606" s="25"/>
      <c r="K606" s="12"/>
      <c r="L606" s="12"/>
    </row>
    <row r="607" spans="1:12" ht="15">
      <c r="A607" s="209" t="s">
        <v>102</v>
      </c>
      <c r="B607" s="297" t="s">
        <v>11</v>
      </c>
      <c r="C607" s="947">
        <f>CEILING(60*$Z$1,0.1)</f>
        <v>75</v>
      </c>
      <c r="D607" s="948"/>
      <c r="E607" s="947">
        <f>CEILING(66*$Z$1,0.1)</f>
        <v>82.5</v>
      </c>
      <c r="F607" s="948"/>
      <c r="G607" s="947">
        <f>CEILING(60*$Z$1,0.1)</f>
        <v>75</v>
      </c>
      <c r="H607" s="948"/>
      <c r="I607" s="6"/>
      <c r="J607" s="1"/>
      <c r="K607" s="7"/>
      <c r="L607" s="7"/>
    </row>
    <row r="608" spans="1:12" ht="14.25">
      <c r="A608" s="78"/>
      <c r="B608" s="231" t="s">
        <v>7</v>
      </c>
      <c r="C608" s="947">
        <f>CEILING(75*$Z$1,0.1)</f>
        <v>93.80000000000001</v>
      </c>
      <c r="D608" s="948"/>
      <c r="E608" s="947">
        <f>CEILING(81*$Z$1,0.1)</f>
        <v>101.30000000000001</v>
      </c>
      <c r="F608" s="948"/>
      <c r="G608" s="947">
        <f>CEILING(75*$Z$1,0.1)</f>
        <v>93.80000000000001</v>
      </c>
      <c r="H608" s="948"/>
      <c r="I608" s="6"/>
      <c r="J608" s="1"/>
      <c r="K608" s="56"/>
      <c r="L608" s="56"/>
    </row>
    <row r="609" spans="1:12" ht="15">
      <c r="A609" s="15" t="s">
        <v>18</v>
      </c>
      <c r="B609" s="236" t="s">
        <v>9</v>
      </c>
      <c r="C609" s="947">
        <f>CEILING(48*$Z$1,0.1)</f>
        <v>60</v>
      </c>
      <c r="D609" s="948"/>
      <c r="E609" s="947">
        <f>CEILING(53*$Z$1,0.1)</f>
        <v>66.3</v>
      </c>
      <c r="F609" s="948"/>
      <c r="G609" s="947">
        <f>CEILING(48*$Z$1,0.1)</f>
        <v>60</v>
      </c>
      <c r="H609" s="948"/>
      <c r="I609" s="6"/>
      <c r="J609" s="1"/>
      <c r="K609" s="56"/>
      <c r="L609" s="56"/>
    </row>
    <row r="610" spans="1:12" ht="15">
      <c r="A610" s="21"/>
      <c r="B610" s="232" t="s">
        <v>2</v>
      </c>
      <c r="C610" s="949">
        <v>0</v>
      </c>
      <c r="D610" s="950"/>
      <c r="E610" s="949">
        <v>0</v>
      </c>
      <c r="F610" s="950"/>
      <c r="G610" s="949">
        <v>0</v>
      </c>
      <c r="H610" s="950"/>
      <c r="I610" s="6"/>
      <c r="J610" s="1"/>
      <c r="K610" s="56"/>
      <c r="L610" s="56"/>
    </row>
    <row r="611" spans="1:12" ht="15.75" customHeight="1">
      <c r="A611" s="21"/>
      <c r="B611" s="164" t="s">
        <v>89</v>
      </c>
      <c r="C611" s="947">
        <f>CEILING(63*$Z$1,0.1)</f>
        <v>78.80000000000001</v>
      </c>
      <c r="D611" s="948"/>
      <c r="E611" s="947">
        <f>CEILING(69*$Z$1,0.1)</f>
        <v>86.30000000000001</v>
      </c>
      <c r="F611" s="948"/>
      <c r="G611" s="947">
        <f>CEILING(63*$Z$1,0.1)</f>
        <v>78.80000000000001</v>
      </c>
      <c r="H611" s="948"/>
      <c r="I611" s="6"/>
      <c r="J611" s="1"/>
      <c r="K611" s="56"/>
      <c r="L611" s="56"/>
    </row>
    <row r="612" spans="1:12" ht="15">
      <c r="A612" s="21"/>
      <c r="B612" s="164" t="s">
        <v>90</v>
      </c>
      <c r="C612" s="947">
        <f>CEILING(78*$Z$1,0.1)</f>
        <v>97.5</v>
      </c>
      <c r="D612" s="948"/>
      <c r="E612" s="947">
        <f>CEILING(84*$Z$1,0.1)</f>
        <v>105</v>
      </c>
      <c r="F612" s="948"/>
      <c r="G612" s="947">
        <f>CEILING(78*$Z$1,0.1)</f>
        <v>97.5</v>
      </c>
      <c r="H612" s="948"/>
      <c r="I612" s="6"/>
      <c r="J612" s="1"/>
      <c r="K612" s="56"/>
      <c r="L612" s="56"/>
    </row>
    <row r="613" spans="1:12" ht="16.5" customHeight="1">
      <c r="A613" s="15"/>
      <c r="B613" s="231" t="s">
        <v>80</v>
      </c>
      <c r="C613" s="947">
        <f>CEILING(66*$Z$1,0.1)</f>
        <v>82.5</v>
      </c>
      <c r="D613" s="957"/>
      <c r="E613" s="947">
        <f>CEILING(72*$Z$1,0.1)</f>
        <v>90</v>
      </c>
      <c r="F613" s="957"/>
      <c r="G613" s="947">
        <f>CEILING(66*$Z$1,0.1)</f>
        <v>82.5</v>
      </c>
      <c r="H613" s="957"/>
      <c r="I613" s="6"/>
      <c r="J613" s="1"/>
      <c r="K613" s="56"/>
      <c r="L613" s="56"/>
    </row>
    <row r="614" spans="1:12" ht="15" thickBot="1">
      <c r="A614" s="64" t="s">
        <v>376</v>
      </c>
      <c r="B614" s="279" t="s">
        <v>81</v>
      </c>
      <c r="C614" s="958">
        <f>CEILING(81*$Z$1,0.1)</f>
        <v>101.30000000000001</v>
      </c>
      <c r="D614" s="959"/>
      <c r="E614" s="958">
        <f>CEILING(87*$Z$1,0.1)</f>
        <v>108.80000000000001</v>
      </c>
      <c r="F614" s="959"/>
      <c r="G614" s="958">
        <f>CEILING(81*$Z$1,0.1)</f>
        <v>101.30000000000001</v>
      </c>
      <c r="H614" s="959"/>
      <c r="I614" s="1"/>
      <c r="J614" s="1"/>
      <c r="K614" s="56"/>
      <c r="L614" s="56"/>
    </row>
    <row r="615" spans="1:12" ht="21" customHeight="1" thickBot="1" thickTop="1">
      <c r="A615" s="79"/>
      <c r="B615" s="79"/>
      <c r="C615" s="79"/>
      <c r="D615" s="79"/>
      <c r="E615" s="79"/>
      <c r="F615" s="79"/>
      <c r="G615" s="10"/>
      <c r="H615" s="10"/>
      <c r="I615" s="1"/>
      <c r="J615" s="1"/>
      <c r="K615" s="80"/>
      <c r="L615" s="80"/>
    </row>
    <row r="616" spans="1:12" ht="24.75" customHeight="1" thickTop="1">
      <c r="A616" s="698" t="s">
        <v>4</v>
      </c>
      <c r="B616" s="370" t="s">
        <v>195</v>
      </c>
      <c r="C616" s="945" t="s">
        <v>592</v>
      </c>
      <c r="D616" s="946"/>
      <c r="E616" s="945" t="s">
        <v>593</v>
      </c>
      <c r="F616" s="946"/>
      <c r="G616" s="945" t="s">
        <v>594</v>
      </c>
      <c r="H616" s="964"/>
      <c r="I616" s="288"/>
      <c r="J616" s="25"/>
      <c r="K616" s="12"/>
      <c r="L616" s="12"/>
    </row>
    <row r="617" spans="1:12" ht="15">
      <c r="A617" s="209" t="s">
        <v>112</v>
      </c>
      <c r="B617" s="297" t="s">
        <v>11</v>
      </c>
      <c r="C617" s="990">
        <f>CEILING(45.5*$Z$1,0.1)</f>
        <v>56.900000000000006</v>
      </c>
      <c r="D617" s="991"/>
      <c r="E617" s="990">
        <f>CEILING(49.5*$Z$1,0.1)</f>
        <v>61.900000000000006</v>
      </c>
      <c r="F617" s="991"/>
      <c r="G617" s="990">
        <f>CEILING(45.5*$Z$1,0.1)</f>
        <v>56.900000000000006</v>
      </c>
      <c r="H617" s="991"/>
      <c r="I617" s="6"/>
      <c r="J617" s="1"/>
      <c r="K617" s="1"/>
      <c r="L617" s="1"/>
    </row>
    <row r="618" spans="1:12" ht="14.25">
      <c r="A618" s="78"/>
      <c r="B618" s="231" t="s">
        <v>7</v>
      </c>
      <c r="C618" s="947">
        <f>CEILING(61*$Z$1,0.1)</f>
        <v>76.3</v>
      </c>
      <c r="D618" s="957"/>
      <c r="E618" s="947">
        <f>CEILING(65*$Z$1,0.1)</f>
        <v>81.30000000000001</v>
      </c>
      <c r="F618" s="957"/>
      <c r="G618" s="947">
        <f>CEILING(61*$Z$1,0.1)</f>
        <v>76.3</v>
      </c>
      <c r="H618" s="957"/>
      <c r="I618" s="6"/>
      <c r="J618" s="1"/>
      <c r="K618" s="1"/>
      <c r="L618" s="1"/>
    </row>
    <row r="619" spans="1:12" ht="15">
      <c r="A619" s="15" t="s">
        <v>24</v>
      </c>
      <c r="B619" s="838" t="s">
        <v>9</v>
      </c>
      <c r="C619" s="947">
        <f>CEILING(36*$Z$1,0.1)</f>
        <v>45</v>
      </c>
      <c r="D619" s="957"/>
      <c r="E619" s="947">
        <f>CEILING(40*$Z$1,0.1)</f>
        <v>50</v>
      </c>
      <c r="F619" s="957"/>
      <c r="G619" s="947">
        <f>CEILING(36*$Z$1,0.1)</f>
        <v>45</v>
      </c>
      <c r="H619" s="957"/>
      <c r="I619" s="6"/>
      <c r="J619" s="1"/>
      <c r="K619" s="1"/>
      <c r="L619" s="1"/>
    </row>
    <row r="620" spans="1:12" ht="15">
      <c r="A620" s="15"/>
      <c r="B620" s="232" t="s">
        <v>2</v>
      </c>
      <c r="C620" s="949">
        <v>0</v>
      </c>
      <c r="D620" s="953"/>
      <c r="E620" s="949">
        <v>0</v>
      </c>
      <c r="F620" s="953"/>
      <c r="G620" s="949">
        <v>0</v>
      </c>
      <c r="H620" s="953"/>
      <c r="I620" s="7"/>
      <c r="J620" s="1"/>
      <c r="K620" s="1"/>
      <c r="L620" s="1"/>
    </row>
    <row r="621" spans="1:12" ht="16.5" customHeight="1">
      <c r="A621" s="15"/>
      <c r="B621" s="164" t="s">
        <v>91</v>
      </c>
      <c r="C621" s="947">
        <f>CEILING(48.5*$Z$1,0.1)</f>
        <v>60.7</v>
      </c>
      <c r="D621" s="957"/>
      <c r="E621" s="947">
        <f>CEILING(52.5*$Z$1,0.1)</f>
        <v>65.7</v>
      </c>
      <c r="F621" s="957"/>
      <c r="G621" s="947">
        <f>CEILING(48.5*$Z$1,0.1)</f>
        <v>60.7</v>
      </c>
      <c r="H621" s="957"/>
      <c r="I621" s="7"/>
      <c r="J621" s="1"/>
      <c r="K621" s="1"/>
      <c r="L621" s="1"/>
    </row>
    <row r="622" spans="1:12" ht="16.5" customHeight="1" thickBot="1">
      <c r="A622" s="64" t="s">
        <v>376</v>
      </c>
      <c r="B622" s="165" t="s">
        <v>92</v>
      </c>
      <c r="C622" s="958">
        <f>CEILING(64*$Z$1,0.1)</f>
        <v>80</v>
      </c>
      <c r="D622" s="959"/>
      <c r="E622" s="958">
        <f>CEILING(68*$Z$1,0.1)</f>
        <v>85</v>
      </c>
      <c r="F622" s="959"/>
      <c r="G622" s="958">
        <f>CEILING(64*$Z$1,0.1)</f>
        <v>80</v>
      </c>
      <c r="H622" s="959"/>
      <c r="I622" s="1"/>
      <c r="J622" s="1"/>
      <c r="K622" s="1"/>
      <c r="L622" s="1"/>
    </row>
    <row r="623" spans="1:12" ht="21" customHeight="1" thickBot="1" thickTop="1">
      <c r="A623" s="10"/>
      <c r="B623" s="10"/>
      <c r="C623" s="10"/>
      <c r="D623" s="10"/>
      <c r="E623" s="837"/>
      <c r="F623" s="837"/>
      <c r="G623" s="837"/>
      <c r="H623" s="837"/>
      <c r="I623" s="1"/>
      <c r="J623" s="1"/>
      <c r="K623" s="1"/>
      <c r="L623" s="1"/>
    </row>
    <row r="624" spans="1:12" ht="27" customHeight="1" thickTop="1">
      <c r="A624" s="698" t="s">
        <v>4</v>
      </c>
      <c r="B624" s="370" t="s">
        <v>195</v>
      </c>
      <c r="C624" s="945" t="s">
        <v>592</v>
      </c>
      <c r="D624" s="946"/>
      <c r="E624" s="945" t="s">
        <v>593</v>
      </c>
      <c r="F624" s="946"/>
      <c r="G624" s="945" t="s">
        <v>594</v>
      </c>
      <c r="H624" s="964"/>
      <c r="I624" s="288"/>
      <c r="J624" s="25"/>
      <c r="K624" s="12"/>
      <c r="L624" s="12"/>
    </row>
    <row r="625" spans="1:12" ht="16.5" customHeight="1">
      <c r="A625" s="209" t="s">
        <v>113</v>
      </c>
      <c r="B625" s="297" t="s">
        <v>11</v>
      </c>
      <c r="C625" s="990">
        <f>CEILING(45.5*$Z$1,0.1)</f>
        <v>56.900000000000006</v>
      </c>
      <c r="D625" s="997"/>
      <c r="E625" s="990">
        <f>CEILING(49.5*$Z$1,0.1)</f>
        <v>61.900000000000006</v>
      </c>
      <c r="F625" s="997"/>
      <c r="G625" s="990">
        <f>CEILING(45.5*$Z$1,0.1)</f>
        <v>56.900000000000006</v>
      </c>
      <c r="H625" s="997"/>
      <c r="I625" s="6"/>
      <c r="J625" s="1"/>
      <c r="K625" s="1"/>
      <c r="L625" s="1"/>
    </row>
    <row r="626" spans="1:12" ht="17.25" customHeight="1">
      <c r="A626" s="209"/>
      <c r="B626" s="231" t="s">
        <v>7</v>
      </c>
      <c r="C626" s="947">
        <f>CEILING(61*$Z$1,0.1)</f>
        <v>76.3</v>
      </c>
      <c r="D626" s="948"/>
      <c r="E626" s="947">
        <f>CEILING(65*$Z$1,0.1)</f>
        <v>81.30000000000001</v>
      </c>
      <c r="F626" s="948"/>
      <c r="G626" s="947">
        <f>CEILING(61*$Z$1,0.1)</f>
        <v>76.3</v>
      </c>
      <c r="H626" s="948"/>
      <c r="I626" s="6"/>
      <c r="J626" s="1"/>
      <c r="K626" s="1"/>
      <c r="L626" s="1"/>
    </row>
    <row r="627" spans="1:12" ht="15">
      <c r="A627" s="15" t="s">
        <v>24</v>
      </c>
      <c r="B627" s="232" t="s">
        <v>2</v>
      </c>
      <c r="C627" s="949">
        <v>0</v>
      </c>
      <c r="D627" s="950"/>
      <c r="E627" s="949">
        <v>0</v>
      </c>
      <c r="F627" s="950"/>
      <c r="G627" s="949">
        <v>0</v>
      </c>
      <c r="H627" s="950"/>
      <c r="I627" s="6"/>
      <c r="J627" s="1"/>
      <c r="K627" s="1"/>
      <c r="L627" s="1"/>
    </row>
    <row r="628" spans="1:12" ht="17.25" customHeight="1">
      <c r="A628" s="15"/>
      <c r="B628" s="396" t="s">
        <v>9</v>
      </c>
      <c r="C628" s="947">
        <f>CEILING(36*$Z$1,0.1)</f>
        <v>45</v>
      </c>
      <c r="D628" s="957"/>
      <c r="E628" s="947">
        <f>CEILING(40*$Z$1,0.1)</f>
        <v>50</v>
      </c>
      <c r="F628" s="957"/>
      <c r="G628" s="947">
        <f>CEILING(36*$Z$1,0.1)</f>
        <v>45</v>
      </c>
      <c r="H628" s="957"/>
      <c r="I628" s="6"/>
      <c r="J628" s="1"/>
      <c r="K628" s="1"/>
      <c r="L628" s="1"/>
    </row>
    <row r="629" spans="1:12" ht="15">
      <c r="A629" s="15"/>
      <c r="B629" s="231" t="s">
        <v>93</v>
      </c>
      <c r="C629" s="947">
        <f>CEILING(48.5*$Z$1,0.1)</f>
        <v>60.7</v>
      </c>
      <c r="D629" s="948"/>
      <c r="E629" s="947">
        <f>CEILING(52.5*$Z$1,0.1)</f>
        <v>65.7</v>
      </c>
      <c r="F629" s="948"/>
      <c r="G629" s="947">
        <f>CEILING(48.5*$Z$1,0.1)</f>
        <v>60.7</v>
      </c>
      <c r="H629" s="948"/>
      <c r="I629" s="6"/>
      <c r="J629" s="1"/>
      <c r="K629" s="1"/>
      <c r="L629" s="1"/>
    </row>
    <row r="630" spans="1:12" ht="15">
      <c r="A630" s="15"/>
      <c r="B630" s="231" t="s">
        <v>92</v>
      </c>
      <c r="C630" s="947">
        <f>CEILING(64*$Z$1,0.1)</f>
        <v>80</v>
      </c>
      <c r="D630" s="948"/>
      <c r="E630" s="947">
        <f>CEILING(68*$Z$1,0.1)</f>
        <v>85</v>
      </c>
      <c r="F630" s="948"/>
      <c r="G630" s="947">
        <f>CEILING(64*$Z$1,0.1)</f>
        <v>80</v>
      </c>
      <c r="H630" s="948"/>
      <c r="I630" s="6"/>
      <c r="J630" s="1"/>
      <c r="K630" s="1"/>
      <c r="L630" s="1"/>
    </row>
    <row r="631" spans="1:12" ht="15.75" customHeight="1">
      <c r="A631" s="15"/>
      <c r="B631" s="231" t="s">
        <v>82</v>
      </c>
      <c r="C631" s="947">
        <f>CEILING(53.5*$Z$1,0.1)</f>
        <v>66.9</v>
      </c>
      <c r="D631" s="948"/>
      <c r="E631" s="947">
        <f>CEILING(57.5*$Z$1,0.1)</f>
        <v>71.9</v>
      </c>
      <c r="F631" s="948"/>
      <c r="G631" s="947">
        <f>CEILING(53.5*$Z$1,0.1)</f>
        <v>66.9</v>
      </c>
      <c r="H631" s="948"/>
      <c r="I631" s="6"/>
      <c r="J631" s="1"/>
      <c r="K631" s="1"/>
      <c r="L631" s="1"/>
    </row>
    <row r="632" spans="1:12" ht="17.25" customHeight="1">
      <c r="A632" s="15"/>
      <c r="B632" s="231" t="s">
        <v>83</v>
      </c>
      <c r="C632" s="947">
        <f>CEILING(69*$Z$1,0.1)</f>
        <v>86.30000000000001</v>
      </c>
      <c r="D632" s="948"/>
      <c r="E632" s="947">
        <f>CEILING(73*$Z$1,0.1)</f>
        <v>91.30000000000001</v>
      </c>
      <c r="F632" s="948"/>
      <c r="G632" s="947">
        <f>CEILING(69*$Z$1,0.1)</f>
        <v>86.30000000000001</v>
      </c>
      <c r="H632" s="948"/>
      <c r="I632" s="6"/>
      <c r="J632" s="1"/>
      <c r="K632" s="1"/>
      <c r="L632" s="1"/>
    </row>
    <row r="633" spans="1:12" ht="17.25" customHeight="1" thickBot="1">
      <c r="A633" s="64" t="s">
        <v>377</v>
      </c>
      <c r="B633" s="839" t="s">
        <v>788</v>
      </c>
      <c r="C633" s="958">
        <f>CEILING(50*$Z$1,0.1)</f>
        <v>62.5</v>
      </c>
      <c r="D633" s="1040"/>
      <c r="E633" s="958">
        <f>CEILING(54*$Z$1,0.1)</f>
        <v>67.5</v>
      </c>
      <c r="F633" s="1040"/>
      <c r="G633" s="958">
        <f>CEILING(50*$Z$1,0.1)</f>
        <v>62.5</v>
      </c>
      <c r="H633" s="1040"/>
      <c r="I633" s="6"/>
      <c r="J633" s="1"/>
      <c r="K633" s="1"/>
      <c r="L633" s="1"/>
    </row>
    <row r="634" spans="1:12" ht="22.5" customHeight="1" thickBot="1" thickTop="1">
      <c r="A634" s="998"/>
      <c r="B634" s="998"/>
      <c r="C634" s="998"/>
      <c r="D634" s="998"/>
      <c r="E634" s="999"/>
      <c r="F634" s="999"/>
      <c r="G634" s="999"/>
      <c r="H634" s="999"/>
      <c r="I634" s="1"/>
      <c r="J634" s="1"/>
      <c r="K634" s="1"/>
      <c r="L634" s="1"/>
    </row>
    <row r="635" spans="1:12" ht="21" customHeight="1" thickTop="1">
      <c r="A635" s="777" t="s">
        <v>4</v>
      </c>
      <c r="B635" s="370"/>
      <c r="C635" s="945" t="s">
        <v>592</v>
      </c>
      <c r="D635" s="946"/>
      <c r="E635" s="945" t="s">
        <v>593</v>
      </c>
      <c r="F635" s="946"/>
      <c r="G635" s="945" t="s">
        <v>594</v>
      </c>
      <c r="H635" s="964"/>
      <c r="I635" s="6"/>
      <c r="J635" s="1"/>
      <c r="K635" s="1"/>
      <c r="L635" s="1"/>
    </row>
    <row r="636" spans="1:12" ht="15">
      <c r="A636" s="351" t="s">
        <v>111</v>
      </c>
      <c r="B636" s="783" t="s">
        <v>789</v>
      </c>
      <c r="C636" s="990">
        <f>CEILING(42*$Z$1,0.1)</f>
        <v>52.5</v>
      </c>
      <c r="D636" s="991"/>
      <c r="E636" s="990">
        <f>CEILING(44.5*$Z$1,0.1)</f>
        <v>55.7</v>
      </c>
      <c r="F636" s="991"/>
      <c r="G636" s="990">
        <f>CEILING(42*$Z$1,0.1)</f>
        <v>52.5</v>
      </c>
      <c r="H636" s="991"/>
      <c r="I636" s="1"/>
      <c r="J636" s="1"/>
      <c r="K636" s="7"/>
      <c r="L636" s="7"/>
    </row>
    <row r="637" spans="1:12" ht="14.25">
      <c r="A637" s="441"/>
      <c r="B637" s="161" t="s">
        <v>790</v>
      </c>
      <c r="C637" s="947">
        <f>CEILING(52*$Z$1,0.1)</f>
        <v>65</v>
      </c>
      <c r="D637" s="957"/>
      <c r="E637" s="947">
        <f>CEILING(55*$Z$1,0.1)</f>
        <v>68.8</v>
      </c>
      <c r="F637" s="957"/>
      <c r="G637" s="947">
        <f>CEILING(52*$Z$1,0.1)</f>
        <v>65</v>
      </c>
      <c r="H637" s="957"/>
      <c r="I637" s="1"/>
      <c r="J637" s="1"/>
      <c r="K637" s="1"/>
      <c r="L637" s="1"/>
    </row>
    <row r="638" spans="1:12" ht="15">
      <c r="A638" s="162" t="s">
        <v>24</v>
      </c>
      <c r="B638" s="824" t="s">
        <v>791</v>
      </c>
      <c r="C638" s="947">
        <f>CEILING(29*$Z$1,0.1)</f>
        <v>36.300000000000004</v>
      </c>
      <c r="D638" s="957"/>
      <c r="E638" s="947">
        <f>CEILING(31*$Z$1,0.1)</f>
        <v>38.800000000000004</v>
      </c>
      <c r="F638" s="957"/>
      <c r="G638" s="947">
        <f>CEILING(29*$Z$1,0.1)</f>
        <v>36.300000000000004</v>
      </c>
      <c r="H638" s="957"/>
      <c r="I638" s="6"/>
      <c r="J638" s="1"/>
      <c r="K638" s="1"/>
      <c r="L638" s="1"/>
    </row>
    <row r="639" spans="1:12" ht="15">
      <c r="A639" s="162"/>
      <c r="B639" s="784" t="s">
        <v>166</v>
      </c>
      <c r="C639" s="949">
        <v>0</v>
      </c>
      <c r="D639" s="953"/>
      <c r="E639" s="949">
        <v>0</v>
      </c>
      <c r="F639" s="953"/>
      <c r="G639" s="949">
        <v>0</v>
      </c>
      <c r="H639" s="953"/>
      <c r="I639" s="6"/>
      <c r="J639" s="1"/>
      <c r="K639" s="1"/>
      <c r="L639" s="1"/>
    </row>
    <row r="640" spans="1:12" ht="15">
      <c r="A640" s="409"/>
      <c r="B640" s="840" t="s">
        <v>167</v>
      </c>
      <c r="C640" s="1089">
        <f>CEILING((C636*0.5),0.1)</f>
        <v>26.3</v>
      </c>
      <c r="D640" s="1090"/>
      <c r="E640" s="1089">
        <f>CEILING((E636*0.5),0.1)</f>
        <v>27.900000000000002</v>
      </c>
      <c r="F640" s="1090"/>
      <c r="G640" s="1089">
        <f>CEILING((G636*0.5),0.1)</f>
        <v>26.3</v>
      </c>
      <c r="H640" s="1090"/>
      <c r="I640" s="6"/>
      <c r="J640" s="1"/>
      <c r="K640" s="1"/>
      <c r="L640" s="1"/>
    </row>
    <row r="641" spans="1:12" ht="15">
      <c r="A641" s="162"/>
      <c r="B641" s="783" t="s">
        <v>792</v>
      </c>
      <c r="C641" s="990">
        <f>CEILING(45*$Z$1,0.1)</f>
        <v>56.300000000000004</v>
      </c>
      <c r="D641" s="991"/>
      <c r="E641" s="990">
        <f>CEILING(47.5*$Z$1,0.1)</f>
        <v>59.400000000000006</v>
      </c>
      <c r="F641" s="991"/>
      <c r="G641" s="990">
        <f>CEILING(45*$Z$1,0.1)</f>
        <v>56.300000000000004</v>
      </c>
      <c r="H641" s="991"/>
      <c r="I641" s="1"/>
      <c r="J641" s="1"/>
      <c r="K641" s="1"/>
      <c r="L641" s="1"/>
    </row>
    <row r="642" spans="1:12" ht="15">
      <c r="A642" s="162"/>
      <c r="B642" s="161" t="s">
        <v>793</v>
      </c>
      <c r="C642" s="947">
        <f>CEILING(55*$Z$1,0.1)</f>
        <v>68.8</v>
      </c>
      <c r="D642" s="957"/>
      <c r="E642" s="947">
        <f>CEILING(58*$Z$1,0.1)</f>
        <v>72.5</v>
      </c>
      <c r="F642" s="957"/>
      <c r="G642" s="947">
        <f>CEILING(55*$Z$1,0.1)</f>
        <v>68.8</v>
      </c>
      <c r="H642" s="957"/>
      <c r="I642" s="1"/>
      <c r="J642" s="1"/>
      <c r="K642" s="1"/>
      <c r="L642" s="1"/>
    </row>
    <row r="643" spans="1:12" ht="15">
      <c r="A643" s="162"/>
      <c r="B643" s="824" t="s">
        <v>794</v>
      </c>
      <c r="C643" s="947">
        <f>CEILING(36*$Z$1,0.1)</f>
        <v>45</v>
      </c>
      <c r="D643" s="957"/>
      <c r="E643" s="947">
        <f>CEILING(38*$Z$1,0.1)</f>
        <v>47.5</v>
      </c>
      <c r="F643" s="957"/>
      <c r="G643" s="947">
        <f>CEILING(36*$Z$1,0.1)</f>
        <v>45</v>
      </c>
      <c r="H643" s="957"/>
      <c r="I643" s="1"/>
      <c r="J643" s="1"/>
      <c r="K643" s="1"/>
      <c r="L643" s="1"/>
    </row>
    <row r="644" spans="1:12" ht="15">
      <c r="A644" s="162"/>
      <c r="B644" s="784" t="s">
        <v>166</v>
      </c>
      <c r="C644" s="949">
        <v>0</v>
      </c>
      <c r="D644" s="953"/>
      <c r="E644" s="949">
        <v>0</v>
      </c>
      <c r="F644" s="953"/>
      <c r="G644" s="949">
        <v>0</v>
      </c>
      <c r="H644" s="953"/>
      <c r="I644" s="1"/>
      <c r="J644" s="1"/>
      <c r="K644" s="1"/>
      <c r="L644" s="1"/>
    </row>
    <row r="645" spans="1:12" ht="15" thickBot="1">
      <c r="A645" s="157" t="s">
        <v>378</v>
      </c>
      <c r="B645" s="793" t="s">
        <v>167</v>
      </c>
      <c r="C645" s="958">
        <f>CEILING((C641*0.5),0.1)</f>
        <v>28.200000000000003</v>
      </c>
      <c r="D645" s="959"/>
      <c r="E645" s="958">
        <f>CEILING((E641*0.5),0.1)</f>
        <v>29.700000000000003</v>
      </c>
      <c r="F645" s="959"/>
      <c r="G645" s="958">
        <f>CEILING((G641*0.5),0.1)</f>
        <v>28.200000000000003</v>
      </c>
      <c r="H645" s="959"/>
      <c r="I645" s="1"/>
      <c r="J645" s="1"/>
      <c r="K645" s="1"/>
      <c r="L645" s="1"/>
    </row>
    <row r="646" spans="1:12" ht="22.5" customHeight="1" thickBot="1" thickTop="1">
      <c r="A646" s="412"/>
      <c r="B646" s="443"/>
      <c r="C646" s="395"/>
      <c r="D646" s="395"/>
      <c r="E646" s="395"/>
      <c r="F646" s="395"/>
      <c r="G646" s="395"/>
      <c r="H646" s="444"/>
      <c r="I646" s="6"/>
      <c r="J646" s="1"/>
      <c r="K646" s="1"/>
      <c r="L646" s="1"/>
    </row>
    <row r="647" spans="1:12" ht="25.5" customHeight="1" thickTop="1">
      <c r="A647" s="698" t="s">
        <v>4</v>
      </c>
      <c r="B647" s="370" t="s">
        <v>68</v>
      </c>
      <c r="C647" s="945" t="s">
        <v>592</v>
      </c>
      <c r="D647" s="946"/>
      <c r="E647" s="945" t="s">
        <v>593</v>
      </c>
      <c r="F647" s="946"/>
      <c r="G647" s="945" t="s">
        <v>594</v>
      </c>
      <c r="H647" s="964"/>
      <c r="I647" s="6"/>
      <c r="J647" s="1"/>
      <c r="K647" s="1"/>
      <c r="L647" s="1"/>
    </row>
    <row r="648" spans="1:12" ht="15">
      <c r="A648" s="159" t="s">
        <v>828</v>
      </c>
      <c r="B648" s="783" t="s">
        <v>829</v>
      </c>
      <c r="C648" s="990">
        <f>CEILING(42*$Z$1,0.1)</f>
        <v>52.5</v>
      </c>
      <c r="D648" s="991"/>
      <c r="E648" s="990">
        <f>CEILING(46*$Z$1,0.1)</f>
        <v>57.5</v>
      </c>
      <c r="F648" s="991"/>
      <c r="G648" s="990">
        <f>CEILING(42*$Z$1,0.1)</f>
        <v>52.5</v>
      </c>
      <c r="H648" s="991"/>
      <c r="I648" s="6"/>
      <c r="J648" s="1"/>
      <c r="K648" s="1"/>
      <c r="L648" s="1"/>
    </row>
    <row r="649" spans="1:12" ht="15">
      <c r="A649" s="442" t="s">
        <v>59</v>
      </c>
      <c r="B649" s="161" t="s">
        <v>830</v>
      </c>
      <c r="C649" s="947">
        <f>CEILING(52*$Z$1,0.1)</f>
        <v>65</v>
      </c>
      <c r="D649" s="957"/>
      <c r="E649" s="947">
        <f>CEILING(56*$Z$1,0.1)</f>
        <v>70</v>
      </c>
      <c r="F649" s="957"/>
      <c r="G649" s="947">
        <f>CEILING(52*$Z$1,0.1)</f>
        <v>65</v>
      </c>
      <c r="H649" s="957"/>
      <c r="I649" s="6"/>
      <c r="J649" s="1"/>
      <c r="K649" s="1"/>
      <c r="L649" s="1"/>
    </row>
    <row r="650" spans="1:12" ht="15">
      <c r="A650" s="162"/>
      <c r="B650" s="784" t="s">
        <v>166</v>
      </c>
      <c r="C650" s="949">
        <v>0</v>
      </c>
      <c r="D650" s="953"/>
      <c r="E650" s="949">
        <v>0</v>
      </c>
      <c r="F650" s="953"/>
      <c r="G650" s="949">
        <v>0</v>
      </c>
      <c r="H650" s="953"/>
      <c r="I650" s="6"/>
      <c r="J650" s="1"/>
      <c r="K650" s="1"/>
      <c r="L650" s="1"/>
    </row>
    <row r="651" spans="1:12" ht="15" thickBot="1">
      <c r="A651" s="157" t="s">
        <v>376</v>
      </c>
      <c r="B651" s="878" t="s">
        <v>167</v>
      </c>
      <c r="C651" s="958">
        <f>CEILING((C648*0.5),0.1)</f>
        <v>26.3</v>
      </c>
      <c r="D651" s="959"/>
      <c r="E651" s="958">
        <f>CEILING((E648*0.5),0.1)</f>
        <v>28.8</v>
      </c>
      <c r="F651" s="959"/>
      <c r="G651" s="958">
        <f>CEILING((G648*0.5),0.1)</f>
        <v>26.3</v>
      </c>
      <c r="H651" s="959"/>
      <c r="I651" s="6"/>
      <c r="J651" s="1"/>
      <c r="K651" s="1"/>
      <c r="L651" s="1"/>
    </row>
    <row r="652" spans="1:12" ht="20.25" customHeight="1" thickTop="1">
      <c r="A652" s="9"/>
      <c r="B652" s="9"/>
      <c r="C652" s="9"/>
      <c r="D652" s="9"/>
      <c r="E652" s="9"/>
      <c r="F652" s="9"/>
      <c r="G652" s="9"/>
      <c r="H652" s="9"/>
      <c r="I652" s="1"/>
      <c r="J652" s="1"/>
      <c r="K652" s="1"/>
      <c r="L652" s="1"/>
    </row>
    <row r="653" spans="1:25" ht="14.25">
      <c r="A653" s="1128" t="s">
        <v>776</v>
      </c>
      <c r="B653" s="1128"/>
      <c r="C653" s="1128"/>
      <c r="D653" s="1128"/>
      <c r="E653" s="1128"/>
      <c r="F653" s="1128"/>
      <c r="G653" s="1129"/>
      <c r="H653" s="1129"/>
      <c r="I653" s="1012"/>
      <c r="J653" s="1012"/>
      <c r="K653" s="581"/>
      <c r="L653" s="581"/>
      <c r="M653" s="136"/>
      <c r="N653" s="550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</row>
    <row r="654" spans="1:25" ht="18.75" customHeight="1">
      <c r="A654" s="1128" t="s">
        <v>777</v>
      </c>
      <c r="B654" s="1128"/>
      <c r="C654" s="1128"/>
      <c r="D654" s="1128"/>
      <c r="E654" s="1128"/>
      <c r="F654" s="1128"/>
      <c r="G654" s="1129"/>
      <c r="H654" s="1129"/>
      <c r="I654" s="1012"/>
      <c r="J654" s="1012"/>
      <c r="K654" s="581"/>
      <c r="L654" s="581"/>
      <c r="M654" s="550"/>
      <c r="N654" s="550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</row>
    <row r="655" spans="1:25" ht="19.5" customHeight="1">
      <c r="A655" s="1128" t="s">
        <v>778</v>
      </c>
      <c r="B655" s="1129"/>
      <c r="C655" s="1129"/>
      <c r="D655" s="1129"/>
      <c r="E655" s="1129"/>
      <c r="F655" s="1129"/>
      <c r="G655" s="1129"/>
      <c r="H655" s="1129"/>
      <c r="I655" s="1012"/>
      <c r="J655" s="1012"/>
      <c r="K655" s="582"/>
      <c r="L655" s="582"/>
      <c r="M655" s="550"/>
      <c r="N655" s="550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</row>
    <row r="656" spans="1:25" ht="17.25" customHeight="1">
      <c r="A656" s="1128" t="s">
        <v>779</v>
      </c>
      <c r="B656" s="1128"/>
      <c r="C656" s="1128"/>
      <c r="D656" s="1128"/>
      <c r="E656" s="1128"/>
      <c r="F656" s="1128"/>
      <c r="G656" s="1129"/>
      <c r="H656" s="1129"/>
      <c r="I656" s="1012"/>
      <c r="J656" s="1012"/>
      <c r="K656" s="582"/>
      <c r="L656" s="582"/>
      <c r="M656" s="583"/>
      <c r="N656" s="583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</row>
    <row r="657" spans="1:12" ht="14.25">
      <c r="A657" s="9"/>
      <c r="B657" s="9"/>
      <c r="C657" s="9"/>
      <c r="D657" s="9"/>
      <c r="E657" s="9"/>
      <c r="F657" s="9"/>
      <c r="G657" s="9"/>
      <c r="H657" s="9"/>
      <c r="I657" s="1"/>
      <c r="J657" s="1"/>
      <c r="K657" s="1"/>
      <c r="L657" s="1"/>
    </row>
    <row r="658" spans="1:12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25.5" customHeight="1">
      <c r="A659" s="1121" t="s">
        <v>156</v>
      </c>
      <c r="B659" s="1121"/>
      <c r="C659" s="1121"/>
      <c r="D659" s="1121"/>
      <c r="E659" s="1121"/>
      <c r="F659" s="1121"/>
      <c r="G659" s="1121"/>
      <c r="H659" s="1121"/>
      <c r="I659" s="1"/>
      <c r="J659" s="1"/>
      <c r="K659" s="1"/>
      <c r="L659" s="1"/>
    </row>
    <row r="660" spans="1:12" ht="25.5" customHeight="1" thickBot="1">
      <c r="A660" s="896"/>
      <c r="B660" s="906"/>
      <c r="C660" s="896"/>
      <c r="D660" s="896"/>
      <c r="E660" s="896"/>
      <c r="F660" s="896"/>
      <c r="G660" s="896"/>
      <c r="H660" s="896"/>
      <c r="I660" s="1"/>
      <c r="J660" s="1"/>
      <c r="K660" s="1"/>
      <c r="L660" s="1"/>
    </row>
    <row r="661" spans="1:12" ht="17.25" customHeight="1" thickTop="1">
      <c r="A661" s="1078" t="s">
        <v>4</v>
      </c>
      <c r="B661" s="81"/>
      <c r="C661" s="1026" t="s">
        <v>625</v>
      </c>
      <c r="D661" s="1034"/>
      <c r="E661" s="905"/>
      <c r="F661" s="896"/>
      <c r="G661" s="896"/>
      <c r="H661" s="896"/>
      <c r="I661" s="1"/>
      <c r="J661" s="1"/>
      <c r="K661" s="1"/>
      <c r="L661" s="1"/>
    </row>
    <row r="662" spans="1:12" ht="15" customHeight="1">
      <c r="A662" s="1079"/>
      <c r="B662" s="81"/>
      <c r="C662" s="877" t="s">
        <v>70</v>
      </c>
      <c r="D662" s="82"/>
      <c r="E662" s="896"/>
      <c r="F662" s="896"/>
      <c r="G662" s="896"/>
      <c r="H662" s="896"/>
      <c r="I662" s="1"/>
      <c r="J662" s="1"/>
      <c r="K662" s="1"/>
      <c r="L662" s="1"/>
    </row>
    <row r="663" spans="1:12" ht="18" customHeight="1">
      <c r="A663" s="209" t="s">
        <v>882</v>
      </c>
      <c r="B663" s="374" t="s">
        <v>285</v>
      </c>
      <c r="C663" s="892">
        <f>CEILING(73*$Z$1,0.1)</f>
        <v>91.30000000000001</v>
      </c>
      <c r="D663" s="734"/>
      <c r="E663" s="896"/>
      <c r="F663" s="896"/>
      <c r="G663" s="896"/>
      <c r="H663" s="896"/>
      <c r="I663" s="1"/>
      <c r="J663" s="1"/>
      <c r="K663" s="1"/>
      <c r="L663" s="1"/>
    </row>
    <row r="664" spans="1:12" ht="17.25" customHeight="1" thickBot="1">
      <c r="A664" s="63" t="s">
        <v>883</v>
      </c>
      <c r="B664" s="310" t="s">
        <v>286</v>
      </c>
      <c r="C664" s="883">
        <f>CEILING(103*$Z$1,0.1)</f>
        <v>128.8</v>
      </c>
      <c r="D664" s="736"/>
      <c r="E664" s="896"/>
      <c r="F664" s="896"/>
      <c r="G664" s="896"/>
      <c r="H664" s="896"/>
      <c r="I664" s="1"/>
      <c r="J664" s="1"/>
      <c r="K664" s="1"/>
      <c r="L664" s="1"/>
    </row>
    <row r="665" spans="1:12" ht="19.5" customHeight="1" thickBot="1" thickTop="1">
      <c r="A665" s="10"/>
      <c r="B665" s="10"/>
      <c r="C665" s="10"/>
      <c r="D665" s="10"/>
      <c r="E665" s="7"/>
      <c r="F665" s="7"/>
      <c r="G665" s="7"/>
      <c r="H665" s="7"/>
      <c r="I665" s="1"/>
      <c r="J665" s="1"/>
      <c r="K665" s="1"/>
      <c r="L665" s="1"/>
    </row>
    <row r="666" spans="1:12" ht="15.75" thickTop="1">
      <c r="A666" s="1078" t="s">
        <v>4</v>
      </c>
      <c r="B666" s="81"/>
      <c r="C666" s="1026" t="s">
        <v>625</v>
      </c>
      <c r="D666" s="1034"/>
      <c r="E666" s="1028"/>
      <c r="F666" s="1029"/>
      <c r="G666" s="1029"/>
      <c r="H666" s="1029"/>
      <c r="I666" s="7"/>
      <c r="J666" s="1"/>
      <c r="K666" s="1"/>
      <c r="L666" s="1"/>
    </row>
    <row r="667" spans="1:12" ht="14.25">
      <c r="A667" s="1079"/>
      <c r="B667" s="81"/>
      <c r="C667" s="877" t="s">
        <v>68</v>
      </c>
      <c r="D667" s="82"/>
      <c r="E667" s="487"/>
      <c r="F667" s="486"/>
      <c r="G667" s="486"/>
      <c r="H667" s="486"/>
      <c r="I667" s="7"/>
      <c r="J667" s="1"/>
      <c r="K667" s="1"/>
      <c r="L667" s="1"/>
    </row>
    <row r="668" spans="1:12" ht="15">
      <c r="A668" s="209" t="s">
        <v>50</v>
      </c>
      <c r="B668" s="225" t="s">
        <v>11</v>
      </c>
      <c r="C668" s="841">
        <f>CEILING(55*$Z$1,0.1)</f>
        <v>68.8</v>
      </c>
      <c r="D668" s="734"/>
      <c r="E668" s="8"/>
      <c r="F668" s="45"/>
      <c r="G668" s="45"/>
      <c r="H668" s="45"/>
      <c r="I668" s="7"/>
      <c r="J668" s="1"/>
      <c r="K668" s="1"/>
      <c r="L668" s="1"/>
    </row>
    <row r="669" spans="1:12" ht="15.75" customHeight="1">
      <c r="A669" s="156" t="s">
        <v>18</v>
      </c>
      <c r="B669" s="139" t="s">
        <v>7</v>
      </c>
      <c r="C669" s="841">
        <f>CEILING(85*$Z$1,0.1)</f>
        <v>106.30000000000001</v>
      </c>
      <c r="D669" s="735"/>
      <c r="E669" s="8"/>
      <c r="F669" s="45"/>
      <c r="G669" s="45"/>
      <c r="H669" s="45"/>
      <c r="I669" s="7"/>
      <c r="J669" s="1"/>
      <c r="K669" s="1"/>
      <c r="L669" s="1"/>
    </row>
    <row r="670" spans="1:12" ht="15" customHeight="1">
      <c r="A670" s="571"/>
      <c r="B670" s="139" t="s">
        <v>9</v>
      </c>
      <c r="C670" s="841">
        <f>CEILING((C668*0.85),0.1)</f>
        <v>58.5</v>
      </c>
      <c r="D670" s="735"/>
      <c r="E670" s="8"/>
      <c r="F670" s="45"/>
      <c r="G670" s="45"/>
      <c r="H670" s="45"/>
      <c r="I670" s="7"/>
      <c r="J670" s="1"/>
      <c r="K670" s="84"/>
      <c r="L670" s="84"/>
    </row>
    <row r="671" spans="1:12" ht="16.5" customHeight="1" thickBot="1">
      <c r="A671" s="63" t="s">
        <v>825</v>
      </c>
      <c r="B671" s="310" t="s">
        <v>101</v>
      </c>
      <c r="C671" s="843">
        <f>CEILING((C668*0.5),0.1)</f>
        <v>34.4</v>
      </c>
      <c r="D671" s="736"/>
      <c r="E671" s="8"/>
      <c r="F671" s="45"/>
      <c r="G671" s="45"/>
      <c r="H671" s="45"/>
      <c r="I671" s="7"/>
      <c r="J671" s="1"/>
      <c r="K671" s="84"/>
      <c r="L671" s="84"/>
    </row>
    <row r="672" spans="1:12" ht="16.5" customHeight="1" thickTop="1">
      <c r="A672" s="7" t="s">
        <v>826</v>
      </c>
      <c r="B672" s="65"/>
      <c r="C672" s="45"/>
      <c r="D672" s="17"/>
      <c r="E672" s="45"/>
      <c r="F672" s="17"/>
      <c r="G672" s="45"/>
      <c r="H672" s="17"/>
      <c r="I672" s="1"/>
      <c r="J672" s="1"/>
      <c r="K672" s="84"/>
      <c r="L672" s="84"/>
    </row>
    <row r="673" spans="1:12" ht="15" thickBot="1">
      <c r="A673" s="85"/>
      <c r="B673" s="85"/>
      <c r="C673" s="85"/>
      <c r="D673" s="85"/>
      <c r="E673" s="7"/>
      <c r="F673" s="7"/>
      <c r="G673" s="7"/>
      <c r="H673" s="7"/>
      <c r="I673" s="1"/>
      <c r="J673" s="1"/>
      <c r="K673" s="84"/>
      <c r="L673" s="84"/>
    </row>
    <row r="674" spans="1:12" ht="15.75" thickTop="1">
      <c r="A674" s="1078" t="s">
        <v>4</v>
      </c>
      <c r="B674" s="81"/>
      <c r="C674" s="1026" t="s">
        <v>471</v>
      </c>
      <c r="D674" s="1034"/>
      <c r="E674" s="1028"/>
      <c r="F674" s="1029"/>
      <c r="G674" s="1029"/>
      <c r="H674" s="1029"/>
      <c r="I674" s="86"/>
      <c r="J674" s="86"/>
      <c r="K674" s="84"/>
      <c r="L674" s="84"/>
    </row>
    <row r="675" spans="1:12" ht="14.25">
      <c r="A675" s="1079"/>
      <c r="B675" s="87"/>
      <c r="C675" s="877" t="s">
        <v>68</v>
      </c>
      <c r="D675" s="82"/>
      <c r="E675" s="487"/>
      <c r="F675" s="486"/>
      <c r="G675" s="486"/>
      <c r="H675" s="486"/>
      <c r="I675" s="88"/>
      <c r="J675" s="88"/>
      <c r="K675" s="88"/>
      <c r="L675" s="88"/>
    </row>
    <row r="676" spans="1:12" ht="15.75" customHeight="1">
      <c r="A676" s="209" t="s">
        <v>103</v>
      </c>
      <c r="B676" s="178" t="s">
        <v>11</v>
      </c>
      <c r="C676" s="841">
        <f>CEILING(55*$Z$1,0.1)</f>
        <v>68.8</v>
      </c>
      <c r="D676" s="734"/>
      <c r="E676" s="644"/>
      <c r="F676" s="645"/>
      <c r="G676" s="645"/>
      <c r="H676" s="645"/>
      <c r="I676" s="17"/>
      <c r="J676" s="17"/>
      <c r="K676" s="17"/>
      <c r="L676" s="17"/>
    </row>
    <row r="677" spans="1:12" ht="15" customHeight="1">
      <c r="A677" s="156" t="s">
        <v>18</v>
      </c>
      <c r="B677" s="19" t="s">
        <v>7</v>
      </c>
      <c r="C677" s="841">
        <f>CEILING(85*$Z$1,0.1)</f>
        <v>106.30000000000001</v>
      </c>
      <c r="D677" s="735"/>
      <c r="E677" s="644"/>
      <c r="F677" s="645"/>
      <c r="G677" s="645"/>
      <c r="H677" s="645"/>
      <c r="I677" s="17"/>
      <c r="J677" s="17"/>
      <c r="K677" s="17"/>
      <c r="L677" s="17"/>
    </row>
    <row r="678" spans="1:12" ht="16.5" customHeight="1">
      <c r="A678" s="571"/>
      <c r="B678" s="19" t="s">
        <v>9</v>
      </c>
      <c r="C678" s="841">
        <f>CEILING((C676*0.85),0.1)</f>
        <v>58.5</v>
      </c>
      <c r="D678" s="735"/>
      <c r="E678" s="644"/>
      <c r="F678" s="645"/>
      <c r="G678" s="645"/>
      <c r="H678" s="645"/>
      <c r="I678" s="17"/>
      <c r="J678" s="17"/>
      <c r="K678" s="17"/>
      <c r="L678" s="17"/>
    </row>
    <row r="679" spans="1:12" ht="17.25" customHeight="1" thickBot="1">
      <c r="A679" s="63" t="s">
        <v>827</v>
      </c>
      <c r="B679" s="310" t="s">
        <v>101</v>
      </c>
      <c r="C679" s="843">
        <f>CEILING((C676*0.5),0.1)</f>
        <v>34.4</v>
      </c>
      <c r="D679" s="736"/>
      <c r="E679" s="644"/>
      <c r="F679" s="645"/>
      <c r="G679" s="645"/>
      <c r="H679" s="645"/>
      <c r="I679" s="17"/>
      <c r="J679" s="17"/>
      <c r="K679" s="17"/>
      <c r="L679" s="17"/>
    </row>
    <row r="680" spans="1:12" ht="16.5" customHeight="1" thickTop="1">
      <c r="A680" s="1007"/>
      <c r="B680" s="1007"/>
      <c r="C680" s="1007"/>
      <c r="D680" s="1007"/>
      <c r="E680" s="1008"/>
      <c r="F680" s="1008"/>
      <c r="G680" s="1008"/>
      <c r="H680" s="1008"/>
      <c r="I680" s="17"/>
      <c r="J680" s="17"/>
      <c r="K680" s="17"/>
      <c r="L680" s="17"/>
    </row>
    <row r="681" spans="1:12" ht="15" thickBot="1">
      <c r="A681" s="89"/>
      <c r="B681" s="89"/>
      <c r="C681" s="9"/>
      <c r="D681" s="9"/>
      <c r="E681" s="9"/>
      <c r="F681" s="9"/>
      <c r="G681" s="9"/>
      <c r="H681" s="9"/>
      <c r="I681" s="17"/>
      <c r="J681" s="17"/>
      <c r="K681" s="17"/>
      <c r="L681" s="17"/>
    </row>
    <row r="682" spans="1:12" ht="15.75" thickTop="1">
      <c r="A682" s="1098" t="s">
        <v>4</v>
      </c>
      <c r="B682" s="81"/>
      <c r="C682" s="1026" t="s">
        <v>625</v>
      </c>
      <c r="D682" s="1034"/>
      <c r="E682" s="1028"/>
      <c r="F682" s="1029"/>
      <c r="G682" s="1029"/>
      <c r="H682" s="1029"/>
      <c r="I682" s="86"/>
      <c r="J682" s="86"/>
      <c r="K682" s="84"/>
      <c r="L682" s="84"/>
    </row>
    <row r="683" spans="1:12" ht="14.25">
      <c r="A683" s="1079"/>
      <c r="B683" s="87"/>
      <c r="C683" s="877" t="s">
        <v>70</v>
      </c>
      <c r="D683" s="82"/>
      <c r="E683" s="487"/>
      <c r="F683" s="486"/>
      <c r="G683" s="486"/>
      <c r="H683" s="486"/>
      <c r="I683" s="88"/>
      <c r="J683" s="88"/>
      <c r="K683" s="88"/>
      <c r="L683" s="88"/>
    </row>
    <row r="684" spans="1:12" ht="15">
      <c r="A684" s="209" t="s">
        <v>114</v>
      </c>
      <c r="B684" s="178" t="s">
        <v>11</v>
      </c>
      <c r="C684" s="841">
        <f>CEILING(34*$Z$1,0.1)</f>
        <v>42.5</v>
      </c>
      <c r="D684" s="247"/>
      <c r="E684" s="8"/>
      <c r="F684" s="45"/>
      <c r="G684" s="45"/>
      <c r="H684" s="45"/>
      <c r="I684" s="17"/>
      <c r="J684" s="17"/>
      <c r="K684" s="17"/>
      <c r="L684" s="17"/>
    </row>
    <row r="685" spans="1:12" ht="14.25">
      <c r="A685" s="78"/>
      <c r="B685" s="19" t="s">
        <v>7</v>
      </c>
      <c r="C685" s="841">
        <f>CEILING(54*$Z$1,0.1)</f>
        <v>67.5</v>
      </c>
      <c r="D685" s="76"/>
      <c r="E685" s="8"/>
      <c r="F685" s="45"/>
      <c r="G685" s="45"/>
      <c r="H685" s="45"/>
      <c r="I685" s="17"/>
      <c r="J685" s="17"/>
      <c r="K685" s="17"/>
      <c r="L685" s="17"/>
    </row>
    <row r="686" spans="1:12" ht="15">
      <c r="A686" s="15" t="s">
        <v>24</v>
      </c>
      <c r="B686" s="19" t="s">
        <v>9</v>
      </c>
      <c r="C686" s="841">
        <f>CEILING((C684*0.85),0.1)</f>
        <v>36.2</v>
      </c>
      <c r="D686" s="76"/>
      <c r="E686" s="8"/>
      <c r="F686" s="45"/>
      <c r="G686" s="45"/>
      <c r="H686" s="45"/>
      <c r="I686" s="17"/>
      <c r="J686" s="17"/>
      <c r="K686" s="17"/>
      <c r="L686" s="17"/>
    </row>
    <row r="687" spans="1:12" ht="18" customHeight="1" thickBot="1">
      <c r="A687" s="63" t="s">
        <v>420</v>
      </c>
      <c r="B687" s="310" t="s">
        <v>101</v>
      </c>
      <c r="C687" s="843">
        <f>CEILING((C684*0.5),0.1)</f>
        <v>21.3</v>
      </c>
      <c r="D687" s="77"/>
      <c r="E687" s="8"/>
      <c r="F687" s="45"/>
      <c r="G687" s="45"/>
      <c r="H687" s="45"/>
      <c r="I687" s="17"/>
      <c r="J687" s="17"/>
      <c r="K687" s="17"/>
      <c r="L687" s="17"/>
    </row>
    <row r="688" spans="1:12" ht="21" customHeight="1" thickBot="1" thickTop="1">
      <c r="A688" s="89"/>
      <c r="B688" s="89"/>
      <c r="C688" s="89"/>
      <c r="D688" s="89"/>
      <c r="E688" s="89"/>
      <c r="F688" s="89"/>
      <c r="G688" s="89"/>
      <c r="H688" s="89"/>
      <c r="I688" s="1"/>
      <c r="J688" s="1"/>
      <c r="K688" s="1"/>
      <c r="L688" s="1"/>
    </row>
    <row r="689" spans="1:12" ht="24" customHeight="1" thickTop="1">
      <c r="A689" s="698" t="s">
        <v>4</v>
      </c>
      <c r="B689" s="73" t="s">
        <v>8</v>
      </c>
      <c r="C689" s="945" t="s">
        <v>592</v>
      </c>
      <c r="D689" s="946"/>
      <c r="E689" s="945" t="s">
        <v>707</v>
      </c>
      <c r="F689" s="946"/>
      <c r="G689" s="945" t="s">
        <v>708</v>
      </c>
      <c r="H689" s="946"/>
      <c r="I689" s="25"/>
      <c r="J689" s="25"/>
      <c r="K689" s="12"/>
      <c r="L689" s="12"/>
    </row>
    <row r="690" spans="1:12" ht="15">
      <c r="A690" s="209" t="s">
        <v>179</v>
      </c>
      <c r="B690" s="224" t="s">
        <v>11</v>
      </c>
      <c r="C690" s="981">
        <f>CEILING(35*$Z$1,0.1)</f>
        <v>43.800000000000004</v>
      </c>
      <c r="D690" s="982"/>
      <c r="E690" s="981">
        <f>CEILING(39*$Z$1,0.1)</f>
        <v>48.800000000000004</v>
      </c>
      <c r="F690" s="982"/>
      <c r="G690" s="981">
        <f>CEILING(35*$Z$1,0.1)</f>
        <v>43.800000000000004</v>
      </c>
      <c r="H690" s="982"/>
      <c r="I690" s="6"/>
      <c r="J690" s="1"/>
      <c r="K690" s="1"/>
      <c r="L690" s="1"/>
    </row>
    <row r="691" spans="1:12" ht="14.25">
      <c r="A691" s="78"/>
      <c r="B691" s="42" t="s">
        <v>7</v>
      </c>
      <c r="C691" s="951">
        <f>CEILING((C690+12*$Z$1),0.1)</f>
        <v>58.800000000000004</v>
      </c>
      <c r="D691" s="952"/>
      <c r="E691" s="951">
        <f>CEILING((E690+12*$Z$1),0.1)</f>
        <v>63.800000000000004</v>
      </c>
      <c r="F691" s="952"/>
      <c r="G691" s="951">
        <f>CEILING((G690+12*$Z$1),0.1)</f>
        <v>58.800000000000004</v>
      </c>
      <c r="H691" s="952"/>
      <c r="I691" s="6"/>
      <c r="J691" s="1"/>
      <c r="K691" s="1"/>
      <c r="L691" s="1"/>
    </row>
    <row r="692" spans="1:12" ht="15">
      <c r="A692" s="15" t="s">
        <v>24</v>
      </c>
      <c r="B692" s="177" t="s">
        <v>9</v>
      </c>
      <c r="C692" s="951">
        <f>CEILING((C690*0.85),0.1)</f>
        <v>37.300000000000004</v>
      </c>
      <c r="D692" s="952"/>
      <c r="E692" s="951">
        <f>CEILING((E690*0.85),0.1)</f>
        <v>41.5</v>
      </c>
      <c r="F692" s="952"/>
      <c r="G692" s="951">
        <f>CEILING((G690*0.85),0.1)</f>
        <v>37.300000000000004</v>
      </c>
      <c r="H692" s="952"/>
      <c r="I692" s="6"/>
      <c r="J692" s="1"/>
      <c r="K692" s="1"/>
      <c r="L692" s="1"/>
    </row>
    <row r="693" spans="1:12" ht="15" thickBot="1">
      <c r="A693" s="63" t="s">
        <v>173</v>
      </c>
      <c r="B693" s="310" t="s">
        <v>101</v>
      </c>
      <c r="C693" s="967">
        <f>CEILING((C690*0.5),0.1)</f>
        <v>21.900000000000002</v>
      </c>
      <c r="D693" s="973"/>
      <c r="E693" s="967">
        <f>CEILING((E690*0.5),0.1)</f>
        <v>24.400000000000002</v>
      </c>
      <c r="F693" s="973"/>
      <c r="G693" s="967">
        <f>CEILING((G690*0.5),0.1)</f>
        <v>21.900000000000002</v>
      </c>
      <c r="H693" s="973"/>
      <c r="I693" s="6"/>
      <c r="J693" s="1"/>
      <c r="K693" s="1"/>
      <c r="L693" s="1"/>
    </row>
    <row r="694" spans="1:12" ht="16.5" customHeight="1" thickTop="1">
      <c r="A694" s="9"/>
      <c r="B694" s="9"/>
      <c r="C694" s="9"/>
      <c r="D694" s="9"/>
      <c r="E694" s="9"/>
      <c r="F694" s="9"/>
      <c r="G694" s="9"/>
      <c r="H694" s="9"/>
      <c r="I694" s="1"/>
      <c r="J694" s="1"/>
      <c r="K694" s="1"/>
      <c r="L694" s="1"/>
    </row>
    <row r="695" spans="1:12" ht="17.25" customHeight="1">
      <c r="A695" s="1128" t="s">
        <v>773</v>
      </c>
      <c r="B695" s="1128"/>
      <c r="C695" s="1128"/>
      <c r="D695" s="1128"/>
      <c r="E695" s="1128"/>
      <c r="F695" s="1128"/>
      <c r="G695" s="1128"/>
      <c r="H695" s="1128"/>
      <c r="I695" s="1012"/>
      <c r="J695" s="1012"/>
      <c r="K695" s="1012"/>
      <c r="L695" s="90"/>
    </row>
    <row r="696" spans="1:12" ht="18.75" customHeight="1">
      <c r="A696" s="1128" t="s">
        <v>774</v>
      </c>
      <c r="B696" s="1128"/>
      <c r="C696" s="1128"/>
      <c r="D696" s="1128"/>
      <c r="E696" s="1128"/>
      <c r="F696" s="1128"/>
      <c r="G696" s="1128"/>
      <c r="H696" s="1128"/>
      <c r="I696" s="1012"/>
      <c r="J696" s="1012"/>
      <c r="K696" s="1012"/>
      <c r="L696" s="90"/>
    </row>
    <row r="697" spans="1:12" ht="12" customHeight="1">
      <c r="A697" s="1128" t="s">
        <v>775</v>
      </c>
      <c r="B697" s="1128"/>
      <c r="C697" s="1128"/>
      <c r="D697" s="1128"/>
      <c r="E697" s="1128"/>
      <c r="F697" s="1128"/>
      <c r="G697" s="1128"/>
      <c r="H697" s="1128"/>
      <c r="I697" s="1012"/>
      <c r="J697" s="1012"/>
      <c r="K697" s="1012"/>
      <c r="L697" s="90"/>
    </row>
    <row r="698" spans="1:12" ht="5.25" customHeight="1">
      <c r="A698" s="1012"/>
      <c r="B698" s="1012"/>
      <c r="C698" s="1012"/>
      <c r="D698" s="1012"/>
      <c r="E698" s="1012"/>
      <c r="F698" s="1012"/>
      <c r="G698" s="1012"/>
      <c r="H698" s="1012"/>
      <c r="I698" s="1012"/>
      <c r="J698" s="1012"/>
      <c r="K698" s="1012"/>
      <c r="L698" s="90"/>
    </row>
    <row r="699" spans="1:12" ht="14.25">
      <c r="A699" s="9"/>
      <c r="B699" s="9"/>
      <c r="C699" s="9"/>
      <c r="D699" s="9"/>
      <c r="E699" s="9"/>
      <c r="F699" s="9"/>
      <c r="G699" s="9"/>
      <c r="H699" s="9"/>
      <c r="I699" s="1"/>
      <c r="J699" s="1"/>
      <c r="K699" s="1"/>
      <c r="L699" s="1"/>
    </row>
    <row r="700" spans="1:12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20.25">
      <c r="A701" s="1116" t="s">
        <v>46</v>
      </c>
      <c r="B701" s="1116"/>
      <c r="C701" s="1116"/>
      <c r="D701" s="1116"/>
      <c r="E701" s="1116"/>
      <c r="F701" s="1116"/>
      <c r="G701" s="1116"/>
      <c r="H701" s="1116"/>
      <c r="I701" s="1"/>
      <c r="J701" s="1"/>
      <c r="K701" s="1"/>
      <c r="L701" s="1"/>
    </row>
    <row r="702" spans="1:12" ht="15">
      <c r="A702" s="1039" t="s">
        <v>157</v>
      </c>
      <c r="B702" s="1039"/>
      <c r="C702" s="1039"/>
      <c r="D702" s="1039"/>
      <c r="E702" s="1039"/>
      <c r="F702" s="1039"/>
      <c r="G702" s="1039"/>
      <c r="H702" s="1039"/>
      <c r="I702" s="1"/>
      <c r="J702" s="1"/>
      <c r="K702" s="1"/>
      <c r="L702" s="1"/>
    </row>
    <row r="703" spans="1:12" ht="15" thickBot="1">
      <c r="A703" s="10"/>
      <c r="B703" s="10"/>
      <c r="C703" s="10"/>
      <c r="D703" s="10"/>
      <c r="E703" s="10"/>
      <c r="F703" s="10"/>
      <c r="G703" s="10"/>
      <c r="H703" s="10"/>
      <c r="I703" s="1"/>
      <c r="J703" s="1"/>
      <c r="K703" s="1"/>
      <c r="L703" s="1"/>
    </row>
    <row r="704" spans="1:12" ht="26.25" customHeight="1" thickTop="1">
      <c r="A704" s="5" t="s">
        <v>4</v>
      </c>
      <c r="B704" s="32"/>
      <c r="C704" s="945" t="s">
        <v>592</v>
      </c>
      <c r="D704" s="946"/>
      <c r="E704" s="945" t="s">
        <v>593</v>
      </c>
      <c r="F704" s="946"/>
      <c r="G704" s="945" t="s">
        <v>594</v>
      </c>
      <c r="H704" s="964"/>
      <c r="I704" s="288"/>
      <c r="J704" s="12"/>
      <c r="K704" s="12"/>
      <c r="L704" s="12"/>
    </row>
    <row r="705" spans="1:12" ht="16.5" customHeight="1">
      <c r="A705" s="18" t="s">
        <v>25</v>
      </c>
      <c r="B705" s="225" t="s">
        <v>11</v>
      </c>
      <c r="C705" s="987">
        <f>CEILING(54*$Z$3,0.1)</f>
        <v>67.5</v>
      </c>
      <c r="D705" s="1093"/>
      <c r="E705" s="987">
        <f>CEILING(58*$Z$3,0.1)</f>
        <v>72.5</v>
      </c>
      <c r="F705" s="1093"/>
      <c r="G705" s="987">
        <f>CEILING(54*$Z$3,0.1)</f>
        <v>67.5</v>
      </c>
      <c r="H705" s="1093"/>
      <c r="I705" s="6"/>
      <c r="J705" s="7"/>
      <c r="K705" s="7"/>
      <c r="L705" s="7"/>
    </row>
    <row r="706" spans="1:12" ht="15" customHeight="1">
      <c r="A706" s="21" t="s">
        <v>18</v>
      </c>
      <c r="B706" s="139" t="s">
        <v>7</v>
      </c>
      <c r="C706" s="955">
        <f>CEILING((C705+30*$Z$3),0.1)</f>
        <v>105</v>
      </c>
      <c r="D706" s="956"/>
      <c r="E706" s="955">
        <f>CEILING((E705+30*$Z$3),0.1)</f>
        <v>110</v>
      </c>
      <c r="F706" s="956"/>
      <c r="G706" s="955">
        <f>CEILING((G705+30*$Z$3),0.1)</f>
        <v>105</v>
      </c>
      <c r="H706" s="956"/>
      <c r="I706" s="6"/>
      <c r="J706" s="7"/>
      <c r="K706" s="56"/>
      <c r="L706" s="56"/>
    </row>
    <row r="707" spans="1:12" ht="15" customHeight="1">
      <c r="A707" s="515" t="s">
        <v>931</v>
      </c>
      <c r="B707" s="139" t="s">
        <v>9</v>
      </c>
      <c r="C707" s="955">
        <f>CEILING((C705*0.85),0.1)</f>
        <v>57.400000000000006</v>
      </c>
      <c r="D707" s="956"/>
      <c r="E707" s="955">
        <f>CEILING((E705*0.85),0.1)</f>
        <v>61.7</v>
      </c>
      <c r="F707" s="956"/>
      <c r="G707" s="955">
        <f>CEILING((G705*0.85),0.1)</f>
        <v>57.400000000000006</v>
      </c>
      <c r="H707" s="956"/>
      <c r="I707" s="6"/>
      <c r="J707" s="7"/>
      <c r="K707" s="56"/>
      <c r="L707" s="56"/>
    </row>
    <row r="708" spans="1:12" ht="15" customHeight="1">
      <c r="A708" s="571" t="s">
        <v>932</v>
      </c>
      <c r="B708" s="24" t="s">
        <v>101</v>
      </c>
      <c r="C708" s="955">
        <f>CEILING((C705*0.5),0.1)</f>
        <v>33.800000000000004</v>
      </c>
      <c r="D708" s="956"/>
      <c r="E708" s="955">
        <f>CEILING((E705*0.5),0.1)</f>
        <v>36.300000000000004</v>
      </c>
      <c r="F708" s="956"/>
      <c r="G708" s="955">
        <f>CEILING((G705*0.5),0.1)</f>
        <v>33.800000000000004</v>
      </c>
      <c r="H708" s="956"/>
      <c r="I708" s="6"/>
      <c r="J708" s="7"/>
      <c r="K708" s="56"/>
      <c r="L708" s="56"/>
    </row>
    <row r="709" spans="1:12" ht="18" customHeight="1">
      <c r="A709" s="571" t="s">
        <v>937</v>
      </c>
      <c r="B709" s="313" t="s">
        <v>302</v>
      </c>
      <c r="C709" s="951">
        <f>CEILING(100*$Z$1,0.1)</f>
        <v>125</v>
      </c>
      <c r="D709" s="952"/>
      <c r="E709" s="951">
        <f>CEILING(105*$Z$1,0.1)</f>
        <v>131.3</v>
      </c>
      <c r="F709" s="952"/>
      <c r="G709" s="951">
        <f>CEILING(100*$Z$1,0.1)</f>
        <v>125</v>
      </c>
      <c r="H709" s="954"/>
      <c r="I709" s="6"/>
      <c r="J709" s="7"/>
      <c r="K709" s="56"/>
      <c r="L709" s="56"/>
    </row>
    <row r="710" spans="1:12" ht="17.25" customHeight="1">
      <c r="A710" s="21"/>
      <c r="B710" s="317" t="s">
        <v>303</v>
      </c>
      <c r="C710" s="947">
        <f>CEILING((C709+30*$Z$1),0.1)</f>
        <v>162.5</v>
      </c>
      <c r="D710" s="948"/>
      <c r="E710" s="947">
        <f>CEILING((E709+30*$Z$1),0.1)</f>
        <v>168.8</v>
      </c>
      <c r="F710" s="948"/>
      <c r="G710" s="947">
        <f>CEILING((G709+30*$Z$1),0.1)</f>
        <v>162.5</v>
      </c>
      <c r="H710" s="948"/>
      <c r="I710" s="6"/>
      <c r="J710" s="7"/>
      <c r="K710" s="56"/>
      <c r="L710" s="56"/>
    </row>
    <row r="711" spans="1:12" ht="17.25" customHeight="1" thickBot="1">
      <c r="A711" s="378" t="s">
        <v>326</v>
      </c>
      <c r="B711" s="254" t="s">
        <v>13</v>
      </c>
      <c r="C711" s="951">
        <f>CEILING(110*$Z$1,0.1)</f>
        <v>137.5</v>
      </c>
      <c r="D711" s="954"/>
      <c r="E711" s="951">
        <f>CEILING(115*$Z$1,0.1)</f>
        <v>143.8</v>
      </c>
      <c r="F711" s="954"/>
      <c r="G711" s="951">
        <f>CEILING(110*$Z$1,0.1)</f>
        <v>137.5</v>
      </c>
      <c r="H711" s="954"/>
      <c r="I711" s="6"/>
      <c r="J711" s="7"/>
      <c r="K711" s="56"/>
      <c r="L711" s="56"/>
    </row>
    <row r="712" spans="1:12" ht="15" thickTop="1">
      <c r="A712" s="1076" t="s">
        <v>480</v>
      </c>
      <c r="B712" s="1076"/>
      <c r="C712" s="1077"/>
      <c r="D712" s="1077"/>
      <c r="E712" s="1077"/>
      <c r="F712" s="1077"/>
      <c r="G712" s="1077"/>
      <c r="H712" s="1077"/>
      <c r="I712" s="7"/>
      <c r="J712" s="7"/>
      <c r="K712" s="56"/>
      <c r="L712" s="56"/>
    </row>
    <row r="713" spans="1:12" ht="15.75" customHeight="1">
      <c r="A713" s="544" t="s">
        <v>683</v>
      </c>
      <c r="B713" s="580"/>
      <c r="C713" s="80"/>
      <c r="D713" s="80"/>
      <c r="E713" s="80"/>
      <c r="F713" s="80"/>
      <c r="G713" s="1"/>
      <c r="H713" s="1"/>
      <c r="I713" s="7"/>
      <c r="J713" s="7"/>
      <c r="K713" s="56"/>
      <c r="L713" s="56"/>
    </row>
    <row r="714" spans="1:12" ht="15.75" customHeight="1">
      <c r="A714" s="1049" t="s">
        <v>562</v>
      </c>
      <c r="B714" s="1050"/>
      <c r="C714" s="1050"/>
      <c r="D714" s="1050"/>
      <c r="E714" s="1050"/>
      <c r="F714" s="1050"/>
      <c r="G714" s="1050"/>
      <c r="H714" s="1050"/>
      <c r="I714" s="7"/>
      <c r="J714" s="7"/>
      <c r="K714" s="56"/>
      <c r="L714" s="56"/>
    </row>
    <row r="715" spans="1:12" ht="21" customHeight="1" thickBot="1">
      <c r="A715" s="302"/>
      <c r="B715" s="302"/>
      <c r="C715" s="302"/>
      <c r="D715" s="302"/>
      <c r="E715" s="302"/>
      <c r="F715" s="302"/>
      <c r="G715" s="302"/>
      <c r="H715" s="302"/>
      <c r="I715" s="7"/>
      <c r="J715" s="7"/>
      <c r="K715" s="56"/>
      <c r="L715" s="56"/>
    </row>
    <row r="716" spans="1:12" ht="27.75" customHeight="1" thickTop="1">
      <c r="A716" s="57" t="s">
        <v>4</v>
      </c>
      <c r="B716" s="57"/>
      <c r="C716" s="945" t="s">
        <v>592</v>
      </c>
      <c r="D716" s="946"/>
      <c r="E716" s="945" t="s">
        <v>593</v>
      </c>
      <c r="F716" s="946"/>
      <c r="G716" s="945" t="s">
        <v>594</v>
      </c>
      <c r="H716" s="964"/>
      <c r="I716" s="288"/>
      <c r="J716" s="25"/>
      <c r="K716" s="25"/>
      <c r="L716" s="25"/>
    </row>
    <row r="717" spans="1:12" ht="15">
      <c r="A717" s="91" t="s">
        <v>441</v>
      </c>
      <c r="B717" s="19" t="s">
        <v>53</v>
      </c>
      <c r="C717" s="955">
        <f>CEILING(40*$Z$1,0.1)</f>
        <v>50</v>
      </c>
      <c r="D717" s="960"/>
      <c r="E717" s="955">
        <f>CEILING(48*$Z$1,0.1)</f>
        <v>60</v>
      </c>
      <c r="F717" s="960"/>
      <c r="G717" s="955">
        <f>CEILING(40*$Z$1,0.1)</f>
        <v>50</v>
      </c>
      <c r="H717" s="960"/>
      <c r="I717" s="6"/>
      <c r="J717" s="1"/>
      <c r="K717" s="1"/>
      <c r="L717" s="1"/>
    </row>
    <row r="718" spans="1:12" ht="15">
      <c r="A718" s="15" t="s">
        <v>18</v>
      </c>
      <c r="B718" s="42" t="s">
        <v>7</v>
      </c>
      <c r="C718" s="955">
        <f>CEILING((C717+18*$Z$1),0.1)</f>
        <v>72.5</v>
      </c>
      <c r="D718" s="956"/>
      <c r="E718" s="955">
        <f>CEILING((E717+18*$Z$1),0.1)</f>
        <v>82.5</v>
      </c>
      <c r="F718" s="956"/>
      <c r="G718" s="955">
        <f>CEILING((G717+18*$Z$1),0.1)</f>
        <v>72.5</v>
      </c>
      <c r="H718" s="956"/>
      <c r="I718" s="1"/>
      <c r="J718" s="1"/>
      <c r="K718" s="1"/>
      <c r="L718" s="1"/>
    </row>
    <row r="719" spans="1:12" ht="15" customHeight="1">
      <c r="A719" s="226"/>
      <c r="B719" s="568" t="s">
        <v>9</v>
      </c>
      <c r="C719" s="955">
        <f>CEILING((C717*0.85),0.1)</f>
        <v>42.5</v>
      </c>
      <c r="D719" s="956"/>
      <c r="E719" s="955">
        <f>CEILING((E717*0.85),0.1)</f>
        <v>51</v>
      </c>
      <c r="F719" s="956"/>
      <c r="G719" s="955">
        <f>CEILING((G717*0.85),0.1)</f>
        <v>42.5</v>
      </c>
      <c r="H719" s="956"/>
      <c r="I719" s="7"/>
      <c r="J719" s="1"/>
      <c r="K719" s="1"/>
      <c r="L719" s="1"/>
    </row>
    <row r="720" spans="1:12" ht="17.25" customHeight="1">
      <c r="A720" s="515" t="s">
        <v>908</v>
      </c>
      <c r="B720" s="208" t="s">
        <v>97</v>
      </c>
      <c r="C720" s="955">
        <v>0</v>
      </c>
      <c r="D720" s="956"/>
      <c r="E720" s="955">
        <f>CEILING((E717*0.5),0.1)</f>
        <v>30</v>
      </c>
      <c r="F720" s="956"/>
      <c r="G720" s="955">
        <v>0</v>
      </c>
      <c r="H720" s="956"/>
      <c r="I720" s="7"/>
      <c r="J720" s="1"/>
      <c r="K720" s="1"/>
      <c r="L720" s="1"/>
    </row>
    <row r="721" spans="1:12" ht="17.25" customHeight="1">
      <c r="A721" s="571" t="s">
        <v>909</v>
      </c>
      <c r="B721" s="22" t="s">
        <v>74</v>
      </c>
      <c r="C721" s="955">
        <f>CEILING(50*$Z$1,0.1)</f>
        <v>62.5</v>
      </c>
      <c r="D721" s="956"/>
      <c r="E721" s="955">
        <f>CEILING(58*$Z$1,0.1)</f>
        <v>72.5</v>
      </c>
      <c r="F721" s="956"/>
      <c r="G721" s="955">
        <f>CEILING(50*$Z$1,0.1)</f>
        <v>62.5</v>
      </c>
      <c r="H721" s="956"/>
      <c r="I721" s="7"/>
      <c r="J721" s="1"/>
      <c r="K721" s="1"/>
      <c r="L721" s="1"/>
    </row>
    <row r="722" spans="1:12" ht="14.25">
      <c r="A722" s="226"/>
      <c r="B722" s="22" t="s">
        <v>75</v>
      </c>
      <c r="C722" s="971">
        <f>CEILING((C721+18*$Z$1),0.1)</f>
        <v>85</v>
      </c>
      <c r="D722" s="972"/>
      <c r="E722" s="971">
        <f>CEILING((E721+18*$Z$1),0.1)</f>
        <v>95</v>
      </c>
      <c r="F722" s="972"/>
      <c r="G722" s="971">
        <f>CEILING((G721+18*$Z$1),0.1)</f>
        <v>85</v>
      </c>
      <c r="H722" s="972"/>
      <c r="I722" s="7"/>
      <c r="J722" s="1"/>
      <c r="K722" s="1"/>
      <c r="L722" s="1"/>
    </row>
    <row r="723" spans="1:12" ht="14.25">
      <c r="A723" s="226"/>
      <c r="B723" s="42" t="s">
        <v>78</v>
      </c>
      <c r="C723" s="955">
        <f>CEILING(55*$Z$1,0.1)</f>
        <v>68.8</v>
      </c>
      <c r="D723" s="956"/>
      <c r="E723" s="955">
        <f>CEILING(63*$Z$1,0.1)</f>
        <v>78.80000000000001</v>
      </c>
      <c r="F723" s="956"/>
      <c r="G723" s="955">
        <f>CEILING(55*$Z$1,0.1)</f>
        <v>68.8</v>
      </c>
      <c r="H723" s="956"/>
      <c r="I723" s="7"/>
      <c r="J723" s="1"/>
      <c r="K723" s="1"/>
      <c r="L723" s="1"/>
    </row>
    <row r="724" spans="1:12" ht="15" thickBot="1">
      <c r="A724" s="226"/>
      <c r="B724" s="803" t="s">
        <v>77</v>
      </c>
      <c r="C724" s="983">
        <f>CEILING((C723+18*$Z$1),0.1)</f>
        <v>91.30000000000001</v>
      </c>
      <c r="D724" s="1075"/>
      <c r="E724" s="983">
        <f>CEILING((E723+18*$Z$1),0.1)</f>
        <v>101.30000000000001</v>
      </c>
      <c r="F724" s="1075"/>
      <c r="G724" s="983">
        <f>CEILING((G723+18*$Z$1),0.1)</f>
        <v>91.30000000000001</v>
      </c>
      <c r="H724" s="1075"/>
      <c r="I724" s="7"/>
      <c r="J724" s="1"/>
      <c r="K724" s="1"/>
      <c r="L724" s="1"/>
    </row>
    <row r="725" spans="1:12" ht="18" customHeight="1" thickTop="1">
      <c r="A725" s="226"/>
      <c r="B725" s="23" t="s">
        <v>174</v>
      </c>
      <c r="C725" s="955">
        <f>CEILING(45*$Z$1,0.1)</f>
        <v>56.300000000000004</v>
      </c>
      <c r="D725" s="956"/>
      <c r="E725" s="955">
        <f>CEILING(53*$Z$1,0.1)</f>
        <v>66.3</v>
      </c>
      <c r="F725" s="956"/>
      <c r="G725" s="955">
        <f>CEILING(45*$Z$1,0.1)</f>
        <v>56.300000000000004</v>
      </c>
      <c r="H725" s="956"/>
      <c r="I725" s="7"/>
      <c r="J725" s="1"/>
      <c r="K725" s="1"/>
      <c r="L725" s="1"/>
    </row>
    <row r="726" spans="1:12" ht="15" customHeight="1">
      <c r="A726" s="226"/>
      <c r="B726" s="23" t="s">
        <v>175</v>
      </c>
      <c r="C726" s="971">
        <f>CEILING((C725+18*$Z$1),0.1)</f>
        <v>78.80000000000001</v>
      </c>
      <c r="D726" s="972"/>
      <c r="E726" s="971">
        <f>CEILING((E725+18*$Z$1),0.1)</f>
        <v>88.80000000000001</v>
      </c>
      <c r="F726" s="972"/>
      <c r="G726" s="971">
        <f>CEILING((G725+18*$Z$1),0.1)</f>
        <v>78.80000000000001</v>
      </c>
      <c r="H726" s="972"/>
      <c r="I726" s="7"/>
      <c r="J726" s="1"/>
      <c r="K726" s="1"/>
      <c r="L726" s="1"/>
    </row>
    <row r="727" spans="1:12" ht="17.25" customHeight="1">
      <c r="A727" s="226"/>
      <c r="B727" s="23" t="s">
        <v>391</v>
      </c>
      <c r="C727" s="955">
        <f>CEILING(48*$Z$1,0.1)</f>
        <v>60</v>
      </c>
      <c r="D727" s="956"/>
      <c r="E727" s="955">
        <f>CEILING(56*$Z$1,0.1)</f>
        <v>70</v>
      </c>
      <c r="F727" s="956"/>
      <c r="G727" s="955">
        <f>CEILING(48*$Z$1,0.1)</f>
        <v>60</v>
      </c>
      <c r="H727" s="956"/>
      <c r="I727" s="7"/>
      <c r="J727" s="1"/>
      <c r="K727" s="1"/>
      <c r="L727" s="1"/>
    </row>
    <row r="728" spans="1:12" ht="17.25" customHeight="1" thickBot="1">
      <c r="A728" s="227" t="s">
        <v>272</v>
      </c>
      <c r="B728" s="240" t="s">
        <v>392</v>
      </c>
      <c r="C728" s="971">
        <f>CEILING((C727+18*$Z$1),0.1)</f>
        <v>82.5</v>
      </c>
      <c r="D728" s="972"/>
      <c r="E728" s="971">
        <f>CEILING((E727+18*$Z$1),0.1)</f>
        <v>92.5</v>
      </c>
      <c r="F728" s="972"/>
      <c r="G728" s="971">
        <f>CEILING((G727+18*$Z$1),0.1)</f>
        <v>82.5</v>
      </c>
      <c r="H728" s="972"/>
      <c r="I728" s="7"/>
      <c r="J728" s="1"/>
      <c r="K728" s="1"/>
      <c r="L728" s="1"/>
    </row>
    <row r="729" spans="1:12" ht="14.25" customHeight="1" thickTop="1">
      <c r="A729" s="1076" t="s">
        <v>481</v>
      </c>
      <c r="B729" s="1076"/>
      <c r="C729" s="1077"/>
      <c r="D729" s="1077"/>
      <c r="E729" s="1077"/>
      <c r="F729" s="1077"/>
      <c r="G729" s="1077"/>
      <c r="H729" s="1077"/>
      <c r="I729" s="7"/>
      <c r="J729" s="1"/>
      <c r="K729" s="1"/>
      <c r="L729" s="1"/>
    </row>
    <row r="730" spans="1:12" ht="20.25" customHeight="1" thickBot="1">
      <c r="A730" s="638"/>
      <c r="B730" s="638"/>
      <c r="C730" s="639"/>
      <c r="D730" s="639"/>
      <c r="E730" s="637"/>
      <c r="F730" s="637"/>
      <c r="G730" s="637"/>
      <c r="H730" s="637"/>
      <c r="I730" s="268"/>
      <c r="J730" s="286"/>
      <c r="K730" s="1"/>
      <c r="L730" s="1"/>
    </row>
    <row r="731" spans="1:12" ht="24.75" customHeight="1" thickTop="1">
      <c r="A731" s="57" t="s">
        <v>4</v>
      </c>
      <c r="B731" s="57"/>
      <c r="C731" s="945" t="s">
        <v>625</v>
      </c>
      <c r="D731" s="946"/>
      <c r="E731" s="637"/>
      <c r="F731" s="637"/>
      <c r="G731" s="637"/>
      <c r="H731" s="637"/>
      <c r="I731" s="268"/>
      <c r="J731" s="286"/>
      <c r="K731" s="1"/>
      <c r="L731" s="1"/>
    </row>
    <row r="732" spans="1:12" ht="14.25" customHeight="1">
      <c r="A732" s="633" t="s">
        <v>506</v>
      </c>
      <c r="B732" s="617" t="s">
        <v>11</v>
      </c>
      <c r="C732" s="951">
        <f>CEILING(49*$Z$1,0.1)</f>
        <v>61.300000000000004</v>
      </c>
      <c r="D732" s="954"/>
      <c r="E732" s="809"/>
      <c r="F732" s="637"/>
      <c r="G732" s="637"/>
      <c r="H732" s="637"/>
      <c r="I732" s="268"/>
      <c r="J732" s="286"/>
      <c r="K732" s="1"/>
      <c r="L732" s="1"/>
    </row>
    <row r="733" spans="1:12" ht="14.25" customHeight="1">
      <c r="A733" s="634" t="s">
        <v>18</v>
      </c>
      <c r="B733" s="568" t="s">
        <v>7</v>
      </c>
      <c r="C733" s="951">
        <f>CEILING((C732+20*$Z$1),0.1)</f>
        <v>86.30000000000001</v>
      </c>
      <c r="D733" s="952"/>
      <c r="E733" s="637"/>
      <c r="F733" s="637"/>
      <c r="G733" s="637"/>
      <c r="H733" s="637"/>
      <c r="I733" s="268"/>
      <c r="J733" s="286"/>
      <c r="K733" s="1"/>
      <c r="L733" s="1"/>
    </row>
    <row r="734" spans="1:12" ht="14.25" customHeight="1">
      <c r="A734" s="634"/>
      <c r="B734" s="568" t="s">
        <v>9</v>
      </c>
      <c r="C734" s="951">
        <f>CEILING((C732*0.85),0.1)</f>
        <v>52.2</v>
      </c>
      <c r="D734" s="952"/>
      <c r="E734" s="637"/>
      <c r="F734" s="637"/>
      <c r="G734" s="637"/>
      <c r="H734" s="637"/>
      <c r="I734" s="268"/>
      <c r="J734" s="286"/>
      <c r="K734" s="1"/>
      <c r="L734" s="1"/>
    </row>
    <row r="735" spans="1:12" ht="14.25" customHeight="1">
      <c r="A735" s="259"/>
      <c r="B735" s="626" t="s">
        <v>685</v>
      </c>
      <c r="C735" s="961">
        <v>0</v>
      </c>
      <c r="D735" s="980"/>
      <c r="E735" s="637"/>
      <c r="F735" s="637"/>
      <c r="G735" s="637"/>
      <c r="H735" s="637"/>
      <c r="I735" s="268"/>
      <c r="J735" s="286"/>
      <c r="K735" s="1"/>
      <c r="L735" s="1"/>
    </row>
    <row r="736" spans="1:12" ht="14.25" customHeight="1">
      <c r="A736" s="634"/>
      <c r="B736" s="566" t="s">
        <v>74</v>
      </c>
      <c r="C736" s="951">
        <f>CEILING(59*$Z$1,0.1)</f>
        <v>73.8</v>
      </c>
      <c r="D736" s="952"/>
      <c r="E736" s="637"/>
      <c r="F736" s="637"/>
      <c r="G736" s="637"/>
      <c r="H736" s="637"/>
      <c r="I736" s="268"/>
      <c r="J736" s="286"/>
      <c r="K736" s="1"/>
      <c r="L736" s="1"/>
    </row>
    <row r="737" spans="1:12" ht="14.25" customHeight="1">
      <c r="A737" s="634"/>
      <c r="B737" s="566" t="s">
        <v>75</v>
      </c>
      <c r="C737" s="947">
        <f>CEILING((C736+20*$Z$1),0.1)</f>
        <v>98.80000000000001</v>
      </c>
      <c r="D737" s="957"/>
      <c r="E737" s="637"/>
      <c r="F737" s="637"/>
      <c r="G737" s="637"/>
      <c r="H737" s="637"/>
      <c r="I737" s="268"/>
      <c r="J737" s="286"/>
      <c r="K737" s="1"/>
      <c r="L737" s="1"/>
    </row>
    <row r="738" spans="1:12" ht="14.25" customHeight="1">
      <c r="A738" s="634"/>
      <c r="B738" s="521" t="s">
        <v>80</v>
      </c>
      <c r="C738" s="951">
        <f>CEILING(78*$Z$1,0.1)</f>
        <v>97.5</v>
      </c>
      <c r="D738" s="952"/>
      <c r="E738" s="637"/>
      <c r="F738" s="637"/>
      <c r="G738" s="637"/>
      <c r="H738" s="637"/>
      <c r="I738" s="268"/>
      <c r="J738" s="286"/>
      <c r="K738" s="1"/>
      <c r="L738" s="1"/>
    </row>
    <row r="739" spans="1:12" ht="14.25" customHeight="1" thickBot="1">
      <c r="A739" s="636" t="s">
        <v>365</v>
      </c>
      <c r="B739" s="556" t="s">
        <v>81</v>
      </c>
      <c r="C739" s="958">
        <f>CEILING((C738+20*$Z$1),0.1)</f>
        <v>122.5</v>
      </c>
      <c r="D739" s="959"/>
      <c r="E739" s="637"/>
      <c r="F739" s="637"/>
      <c r="G739" s="637"/>
      <c r="H739" s="637"/>
      <c r="I739" s="268"/>
      <c r="J739" s="286"/>
      <c r="K739" s="1"/>
      <c r="L739" s="1"/>
    </row>
    <row r="740" spans="1:12" ht="14.25" customHeight="1" thickTop="1">
      <c r="A740" s="609" t="s">
        <v>507</v>
      </c>
      <c r="B740" s="609"/>
      <c r="C740" s="640"/>
      <c r="D740" s="640"/>
      <c r="E740" s="637"/>
      <c r="F740" s="637"/>
      <c r="G740" s="637"/>
      <c r="H740" s="637"/>
      <c r="I740" s="268"/>
      <c r="J740" s="286"/>
      <c r="K740" s="1"/>
      <c r="L740" s="1"/>
    </row>
    <row r="741" spans="1:12" ht="14.25" customHeight="1" thickBot="1">
      <c r="A741" s="638"/>
      <c r="B741" s="638"/>
      <c r="C741" s="639"/>
      <c r="D741" s="639"/>
      <c r="E741" s="637"/>
      <c r="F741" s="637"/>
      <c r="G741" s="637"/>
      <c r="H741" s="637"/>
      <c r="I741" s="268"/>
      <c r="J741" s="286"/>
      <c r="K741" s="1"/>
      <c r="L741" s="1"/>
    </row>
    <row r="742" spans="1:12" ht="25.5" customHeight="1" thickTop="1">
      <c r="A742" s="57" t="s">
        <v>4</v>
      </c>
      <c r="B742" s="57"/>
      <c r="C742" s="945" t="s">
        <v>625</v>
      </c>
      <c r="D742" s="946"/>
      <c r="E742" s="637"/>
      <c r="F742" s="637"/>
      <c r="G742" s="637"/>
      <c r="H742" s="637"/>
      <c r="I742" s="268"/>
      <c r="J742" s="286"/>
      <c r="K742" s="1"/>
      <c r="L742" s="1"/>
    </row>
    <row r="743" spans="1:12" ht="14.25" customHeight="1">
      <c r="A743" s="633" t="s">
        <v>508</v>
      </c>
      <c r="B743" s="617" t="s">
        <v>11</v>
      </c>
      <c r="C743" s="951">
        <f>CEILING(40*$Z$1,0.1)</f>
        <v>50</v>
      </c>
      <c r="D743" s="954"/>
      <c r="E743" s="809"/>
      <c r="F743" s="637"/>
      <c r="G743" s="637"/>
      <c r="H743" s="637"/>
      <c r="I743" s="268"/>
      <c r="J743" s="286"/>
      <c r="K743" s="1"/>
      <c r="L743" s="1"/>
    </row>
    <row r="744" spans="1:12" ht="14.25" customHeight="1">
      <c r="A744" s="634" t="s">
        <v>24</v>
      </c>
      <c r="B744" s="568" t="s">
        <v>7</v>
      </c>
      <c r="C744" s="951">
        <f>CEILING((C743+15*$Z$1),0.1)</f>
        <v>68.8</v>
      </c>
      <c r="D744" s="952"/>
      <c r="E744" s="637"/>
      <c r="F744" s="637"/>
      <c r="G744" s="637"/>
      <c r="H744" s="637"/>
      <c r="I744" s="268"/>
      <c r="J744" s="286"/>
      <c r="K744" s="1"/>
      <c r="L744" s="1"/>
    </row>
    <row r="745" spans="1:12" ht="14.25" customHeight="1">
      <c r="A745" s="634"/>
      <c r="B745" s="568" t="s">
        <v>9</v>
      </c>
      <c r="C745" s="951">
        <f>CEILING((C743*0.85),0.1)</f>
        <v>42.5</v>
      </c>
      <c r="D745" s="952"/>
      <c r="E745" s="637"/>
      <c r="F745" s="637"/>
      <c r="G745" s="637"/>
      <c r="H745" s="637"/>
      <c r="I745" s="268"/>
      <c r="J745" s="286"/>
      <c r="K745" s="1"/>
      <c r="L745" s="1"/>
    </row>
    <row r="746" spans="1:12" ht="14.25" customHeight="1">
      <c r="A746" s="634"/>
      <c r="B746" s="566" t="s">
        <v>260</v>
      </c>
      <c r="C746" s="951">
        <f>CEILING(45*$Z$1,0.1)</f>
        <v>56.300000000000004</v>
      </c>
      <c r="D746" s="952"/>
      <c r="E746" s="637"/>
      <c r="F746" s="637"/>
      <c r="G746" s="637"/>
      <c r="H746" s="637"/>
      <c r="I746" s="268"/>
      <c r="J746" s="286"/>
      <c r="K746" s="1"/>
      <c r="L746" s="1"/>
    </row>
    <row r="747" spans="1:12" ht="14.25" customHeight="1">
      <c r="A747" s="634"/>
      <c r="B747" s="566" t="s">
        <v>297</v>
      </c>
      <c r="C747" s="947">
        <f>CEILING((C746+15*$Z$1),0.1)</f>
        <v>75.10000000000001</v>
      </c>
      <c r="D747" s="957"/>
      <c r="E747" s="637"/>
      <c r="F747" s="637"/>
      <c r="G747" s="637"/>
      <c r="H747" s="637"/>
      <c r="I747" s="268"/>
      <c r="J747" s="286"/>
      <c r="K747" s="1"/>
      <c r="L747" s="1"/>
    </row>
    <row r="748" spans="1:12" ht="14.25" customHeight="1">
      <c r="A748" s="634"/>
      <c r="B748" s="566" t="s">
        <v>174</v>
      </c>
      <c r="C748" s="951">
        <f>CEILING(45*$Z$1,0.1)</f>
        <v>56.300000000000004</v>
      </c>
      <c r="D748" s="952"/>
      <c r="E748" s="637"/>
      <c r="F748" s="637"/>
      <c r="G748" s="637"/>
      <c r="H748" s="637"/>
      <c r="I748" s="268"/>
      <c r="J748" s="286"/>
      <c r="K748" s="1"/>
      <c r="L748" s="1"/>
    </row>
    <row r="749" spans="1:12" ht="14.25" customHeight="1">
      <c r="A749" s="634"/>
      <c r="B749" s="566" t="s">
        <v>175</v>
      </c>
      <c r="C749" s="947">
        <f>CEILING((C748+15*$Z$1),0.1)</f>
        <v>75.10000000000001</v>
      </c>
      <c r="D749" s="957"/>
      <c r="E749" s="637"/>
      <c r="F749" s="637"/>
      <c r="G749" s="637"/>
      <c r="H749" s="637"/>
      <c r="I749" s="268"/>
      <c r="J749" s="286"/>
      <c r="K749" s="1"/>
      <c r="L749" s="1"/>
    </row>
    <row r="750" spans="1:12" ht="14.25" customHeight="1">
      <c r="A750" s="634"/>
      <c r="B750" s="521" t="s">
        <v>391</v>
      </c>
      <c r="C750" s="951">
        <f>CEILING(50*$Z$1,0.1)</f>
        <v>62.5</v>
      </c>
      <c r="D750" s="952"/>
      <c r="E750" s="637"/>
      <c r="F750" s="637"/>
      <c r="G750" s="637"/>
      <c r="H750" s="637"/>
      <c r="I750" s="268"/>
      <c r="J750" s="286"/>
      <c r="K750" s="1"/>
      <c r="L750" s="1"/>
    </row>
    <row r="751" spans="1:12" ht="14.25" customHeight="1" thickBot="1">
      <c r="A751" s="636" t="s">
        <v>365</v>
      </c>
      <c r="B751" s="556" t="s">
        <v>392</v>
      </c>
      <c r="C751" s="958">
        <f>CEILING((C750+15*$Z$1),0.1)</f>
        <v>81.30000000000001</v>
      </c>
      <c r="D751" s="959"/>
      <c r="E751" s="637"/>
      <c r="F751" s="637"/>
      <c r="G751" s="637"/>
      <c r="H751" s="637"/>
      <c r="I751" s="268"/>
      <c r="J751" s="286"/>
      <c r="K751" s="1"/>
      <c r="L751" s="1"/>
    </row>
    <row r="752" spans="1:12" ht="14.25" customHeight="1" thickTop="1">
      <c r="A752" s="580" t="s">
        <v>509</v>
      </c>
      <c r="B752" s="580"/>
      <c r="C752" s="637"/>
      <c r="D752" s="637"/>
      <c r="E752" s="637"/>
      <c r="F752" s="637"/>
      <c r="G752" s="637"/>
      <c r="H752" s="637"/>
      <c r="I752" s="268"/>
      <c r="J752" s="286"/>
      <c r="K752" s="1"/>
      <c r="L752" s="1"/>
    </row>
    <row r="753" spans="1:12" ht="21" customHeight="1">
      <c r="A753" s="7"/>
      <c r="B753" s="7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 customHeight="1">
      <c r="A754" s="414" t="s">
        <v>687</v>
      </c>
      <c r="B754" s="414"/>
      <c r="C754" s="414"/>
      <c r="D754" s="414"/>
      <c r="E754" s="414"/>
      <c r="F754" s="414"/>
      <c r="G754" s="414"/>
      <c r="H754" s="414"/>
      <c r="I754" s="1"/>
      <c r="J754" s="1"/>
      <c r="K754" s="1"/>
      <c r="L754" s="1"/>
    </row>
    <row r="755" spans="1:12" ht="21.75" customHeight="1">
      <c r="A755" s="414" t="s">
        <v>688</v>
      </c>
      <c r="B755" s="414"/>
      <c r="C755" s="414"/>
      <c r="D755" s="414"/>
      <c r="E755" s="414"/>
      <c r="F755" s="414"/>
      <c r="G755" s="414"/>
      <c r="H755" s="414"/>
      <c r="I755" s="1"/>
      <c r="J755" s="1"/>
      <c r="K755" s="1"/>
      <c r="L755" s="1"/>
    </row>
    <row r="756" spans="1:12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21.75" customHeight="1">
      <c r="A757" s="1130" t="s">
        <v>158</v>
      </c>
      <c r="B757" s="1130"/>
      <c r="C757" s="1130"/>
      <c r="D757" s="1130"/>
      <c r="E757" s="1130"/>
      <c r="F757" s="1130"/>
      <c r="G757" s="1130"/>
      <c r="H757" s="1130"/>
      <c r="I757" s="1"/>
      <c r="J757" s="1"/>
      <c r="K757" s="7"/>
      <c r="L757" s="7"/>
    </row>
    <row r="758" spans="1:12" ht="25.5" customHeight="1" thickBot="1">
      <c r="A758" s="10"/>
      <c r="B758" s="1094"/>
      <c r="C758" s="1094"/>
      <c r="D758" s="1094"/>
      <c r="E758" s="1094"/>
      <c r="F758" s="1094"/>
      <c r="G758" s="1094"/>
      <c r="H758" s="1094"/>
      <c r="I758" s="1"/>
      <c r="J758" s="1"/>
      <c r="K758" s="7"/>
      <c r="L758" s="7"/>
    </row>
    <row r="759" spans="1:12" ht="22.5" customHeight="1" thickTop="1">
      <c r="A759" s="55" t="s">
        <v>4</v>
      </c>
      <c r="B759" s="936"/>
      <c r="C759" s="1030" t="s">
        <v>592</v>
      </c>
      <c r="D759" s="1031"/>
      <c r="E759" s="1030" t="s">
        <v>593</v>
      </c>
      <c r="F759" s="1031"/>
      <c r="G759" s="1030" t="s">
        <v>594</v>
      </c>
      <c r="H759" s="1031"/>
      <c r="I759" s="6"/>
      <c r="J759" s="1"/>
      <c r="K759" s="7"/>
      <c r="L759" s="7"/>
    </row>
    <row r="760" spans="1:12" ht="15">
      <c r="A760" s="324" t="s">
        <v>231</v>
      </c>
      <c r="B760" s="276" t="s">
        <v>223</v>
      </c>
      <c r="C760" s="955">
        <f>CEILING(70*$Z$1,0.1)</f>
        <v>87.5</v>
      </c>
      <c r="D760" s="960"/>
      <c r="E760" s="955">
        <f>CEILING(70*$Z$1,0.1)</f>
        <v>87.5</v>
      </c>
      <c r="F760" s="960"/>
      <c r="G760" s="955">
        <f>CEILING(70*$Z$1,0.1)</f>
        <v>87.5</v>
      </c>
      <c r="H760" s="960"/>
      <c r="I760" s="6"/>
      <c r="J760" s="1"/>
      <c r="K760" s="92"/>
      <c r="L760" s="92"/>
    </row>
    <row r="761" spans="1:12" ht="15">
      <c r="A761" s="150" t="s">
        <v>6</v>
      </c>
      <c r="B761" s="277" t="s">
        <v>224</v>
      </c>
      <c r="C761" s="955">
        <f>CEILING((C760+40*$Z$1),0.1)</f>
        <v>137.5</v>
      </c>
      <c r="D761" s="960"/>
      <c r="E761" s="955">
        <f>CEILING((E760+40*$Z$1),0.1)</f>
        <v>137.5</v>
      </c>
      <c r="F761" s="960"/>
      <c r="G761" s="955">
        <f>CEILING((G760+40*$Z$1),0.1)</f>
        <v>137.5</v>
      </c>
      <c r="H761" s="960"/>
      <c r="I761" s="6"/>
      <c r="J761" s="1"/>
      <c r="K761" s="92"/>
      <c r="L761" s="92"/>
    </row>
    <row r="762" spans="1:12" ht="15">
      <c r="A762" s="150"/>
      <c r="B762" s="277" t="s">
        <v>9</v>
      </c>
      <c r="C762" s="955">
        <f>CEILING((C760*0.85),0.1)</f>
        <v>74.4</v>
      </c>
      <c r="D762" s="960"/>
      <c r="E762" s="955">
        <f>CEILING((E760*0.85),0.1)</f>
        <v>74.4</v>
      </c>
      <c r="F762" s="960"/>
      <c r="G762" s="955">
        <f>CEILING((G760*0.85),0.1)</f>
        <v>74.4</v>
      </c>
      <c r="H762" s="960"/>
      <c r="I762" s="6"/>
      <c r="J762" s="1"/>
      <c r="K762" s="92"/>
      <c r="L762" s="92"/>
    </row>
    <row r="763" spans="1:12" ht="14.25">
      <c r="A763" s="571"/>
      <c r="B763" s="579" t="s">
        <v>384</v>
      </c>
      <c r="C763" s="969">
        <v>0</v>
      </c>
      <c r="D763" s="970"/>
      <c r="E763" s="969">
        <f>CEILING((E760*0.5),0.1)</f>
        <v>43.800000000000004</v>
      </c>
      <c r="F763" s="970"/>
      <c r="G763" s="969">
        <v>0</v>
      </c>
      <c r="H763" s="970"/>
      <c r="I763" s="6"/>
      <c r="J763" s="1"/>
      <c r="K763" s="92"/>
      <c r="L763" s="92"/>
    </row>
    <row r="764" spans="1:12" ht="14.25">
      <c r="A764" s="515" t="s">
        <v>898</v>
      </c>
      <c r="B764" s="277" t="s">
        <v>130</v>
      </c>
      <c r="C764" s="955">
        <f>CEILING(83*$Z$1,0.1)</f>
        <v>103.80000000000001</v>
      </c>
      <c r="D764" s="960"/>
      <c r="E764" s="955">
        <f>CEILING(83*$Z$1,0.1)</f>
        <v>103.80000000000001</v>
      </c>
      <c r="F764" s="960"/>
      <c r="G764" s="955">
        <f>CEILING(83*$Z$1,0.1)</f>
        <v>103.80000000000001</v>
      </c>
      <c r="H764" s="960"/>
      <c r="I764" s="6"/>
      <c r="J764" s="1"/>
      <c r="K764" s="92"/>
      <c r="L764" s="92"/>
    </row>
    <row r="765" spans="1:12" ht="14.25">
      <c r="A765" s="571" t="s">
        <v>899</v>
      </c>
      <c r="B765" s="277" t="s">
        <v>131</v>
      </c>
      <c r="C765" s="955">
        <f>CEILING((C764+40*$Z$1),0.1)</f>
        <v>153.8</v>
      </c>
      <c r="D765" s="960"/>
      <c r="E765" s="955">
        <f>CEILING((E764+40*$Z$1),0.1)</f>
        <v>153.8</v>
      </c>
      <c r="F765" s="960"/>
      <c r="G765" s="955">
        <f>CEILING((G764+40*$Z$1),0.1)</f>
        <v>153.8</v>
      </c>
      <c r="H765" s="960"/>
      <c r="I765" s="6"/>
      <c r="J765" s="1"/>
      <c r="K765" s="1"/>
      <c r="L765" s="1"/>
    </row>
    <row r="766" spans="1:12" ht="15">
      <c r="A766" s="150"/>
      <c r="B766" s="320" t="s">
        <v>9</v>
      </c>
      <c r="C766" s="969">
        <f>CEILING((C764*0.85),0.1)</f>
        <v>88.30000000000001</v>
      </c>
      <c r="D766" s="970"/>
      <c r="E766" s="969">
        <f>CEILING((E764*0.85),0.1)</f>
        <v>88.30000000000001</v>
      </c>
      <c r="F766" s="970"/>
      <c r="G766" s="969">
        <f>CEILING((G764*0.85),0.1)</f>
        <v>88.30000000000001</v>
      </c>
      <c r="H766" s="970"/>
      <c r="I766" s="6"/>
      <c r="J766" s="1"/>
      <c r="K766" s="92"/>
      <c r="L766" s="92"/>
    </row>
    <row r="767" spans="1:12" ht="15">
      <c r="A767" s="150"/>
      <c r="B767" s="459" t="s">
        <v>395</v>
      </c>
      <c r="C767" s="955">
        <f>CEILING(90*$Z$1,0.1)</f>
        <v>112.5</v>
      </c>
      <c r="D767" s="960"/>
      <c r="E767" s="955">
        <f>CEILING(90*$Z$1,0.1)</f>
        <v>112.5</v>
      </c>
      <c r="F767" s="960"/>
      <c r="G767" s="955">
        <f>CEILING(90*$Z$1,0.1)</f>
        <v>112.5</v>
      </c>
      <c r="H767" s="960"/>
      <c r="I767" s="6"/>
      <c r="J767" s="1"/>
      <c r="K767" s="92"/>
      <c r="L767" s="92"/>
    </row>
    <row r="768" spans="1:12" ht="15">
      <c r="A768" s="150"/>
      <c r="B768" s="459" t="s">
        <v>396</v>
      </c>
      <c r="C768" s="955">
        <f>CEILING((C767+40*$Z$1),0.1)</f>
        <v>162.5</v>
      </c>
      <c r="D768" s="960"/>
      <c r="E768" s="955">
        <f>CEILING((E767+40*$Z$1),0.1)</f>
        <v>162.5</v>
      </c>
      <c r="F768" s="960"/>
      <c r="G768" s="955">
        <f>CEILING((G767+40*$Z$1),0.1)</f>
        <v>162.5</v>
      </c>
      <c r="H768" s="960"/>
      <c r="I768" s="6"/>
      <c r="J768" s="1"/>
      <c r="K768" s="92"/>
      <c r="L768" s="92"/>
    </row>
    <row r="769" spans="1:12" ht="15">
      <c r="A769" s="150"/>
      <c r="B769" s="320" t="s">
        <v>9</v>
      </c>
      <c r="C769" s="969">
        <f>CEILING((C767*0.85),0.1)</f>
        <v>95.7</v>
      </c>
      <c r="D769" s="970"/>
      <c r="E769" s="969">
        <f>CEILING((E767*0.85),0.1)</f>
        <v>95.7</v>
      </c>
      <c r="F769" s="970"/>
      <c r="G769" s="969">
        <f>CEILING((G767*0.85),0.1)</f>
        <v>95.7</v>
      </c>
      <c r="H769" s="970"/>
      <c r="I769" s="6"/>
      <c r="J769" s="1"/>
      <c r="K769" s="92"/>
      <c r="L769" s="92"/>
    </row>
    <row r="770" spans="1:12" ht="16.5" customHeight="1">
      <c r="A770" s="150"/>
      <c r="B770" s="321" t="s">
        <v>225</v>
      </c>
      <c r="C770" s="951">
        <f>CEILING(145*$Z$1,0.1)</f>
        <v>181.3</v>
      </c>
      <c r="D770" s="954"/>
      <c r="E770" s="951">
        <f>CEILING(145*$Z$1,0.1)</f>
        <v>181.3</v>
      </c>
      <c r="F770" s="954"/>
      <c r="G770" s="951">
        <f>CEILING(145*$Z$1,0.1)</f>
        <v>181.3</v>
      </c>
      <c r="H770" s="954"/>
      <c r="I770" s="6"/>
      <c r="J770" s="1"/>
      <c r="K770" s="92"/>
      <c r="L770" s="92"/>
    </row>
    <row r="771" spans="1:12" ht="17.25" customHeight="1">
      <c r="A771" s="150"/>
      <c r="B771" s="314" t="s">
        <v>226</v>
      </c>
      <c r="C771" s="951">
        <f>CEILING((C770+40*$Z$1),0.1)</f>
        <v>231.3</v>
      </c>
      <c r="D771" s="954"/>
      <c r="E771" s="951">
        <f>CEILING((E770+40*$Z$1),0.1)</f>
        <v>231.3</v>
      </c>
      <c r="F771" s="954"/>
      <c r="G771" s="951">
        <f>CEILING((G770+40*$Z$1),0.1)</f>
        <v>231.3</v>
      </c>
      <c r="H771" s="954"/>
      <c r="I771" s="6"/>
      <c r="J771" s="1"/>
      <c r="K771" s="92"/>
      <c r="L771" s="92"/>
    </row>
    <row r="772" spans="1:12" ht="15">
      <c r="A772" s="150"/>
      <c r="B772" s="322" t="s">
        <v>9</v>
      </c>
      <c r="C772" s="1114">
        <f>CEILING((C770*0.85),0.1)</f>
        <v>154.20000000000002</v>
      </c>
      <c r="D772" s="1115"/>
      <c r="E772" s="1114">
        <f>CEILING((E770*0.85),0.1)</f>
        <v>154.20000000000002</v>
      </c>
      <c r="F772" s="1115"/>
      <c r="G772" s="1114">
        <f>CEILING((G770*0.85),0.1)</f>
        <v>154.20000000000002</v>
      </c>
      <c r="H772" s="1115"/>
      <c r="I772" s="6"/>
      <c r="J772" s="1"/>
      <c r="K772" s="92"/>
      <c r="L772" s="92"/>
    </row>
    <row r="773" spans="1:12" ht="15">
      <c r="A773" s="150"/>
      <c r="B773" s="277" t="s">
        <v>227</v>
      </c>
      <c r="C773" s="951">
        <f>CEILING(145*$Z$1,0.1)</f>
        <v>181.3</v>
      </c>
      <c r="D773" s="954"/>
      <c r="E773" s="951">
        <f>CEILING(145*$Z$1,0.1)</f>
        <v>181.3</v>
      </c>
      <c r="F773" s="954"/>
      <c r="G773" s="951">
        <f>CEILING(145*$Z$1,0.1)</f>
        <v>181.3</v>
      </c>
      <c r="H773" s="954"/>
      <c r="I773" s="6"/>
      <c r="J773" s="1"/>
      <c r="K773" s="92"/>
      <c r="L773" s="92"/>
    </row>
    <row r="774" spans="1:12" ht="15.75" thickBot="1">
      <c r="A774" s="151" t="s">
        <v>230</v>
      </c>
      <c r="B774" s="279" t="s">
        <v>228</v>
      </c>
      <c r="C774" s="967">
        <f>CEILING((C772*0.75),0.1)</f>
        <v>115.7</v>
      </c>
      <c r="D774" s="968"/>
      <c r="E774" s="967">
        <f>CEILING((E772*0.75),0.1)</f>
        <v>115.7</v>
      </c>
      <c r="F774" s="968"/>
      <c r="G774" s="967">
        <f>CEILING((G772*0.75),0.1)</f>
        <v>115.7</v>
      </c>
      <c r="H774" s="968"/>
      <c r="I774" s="6"/>
      <c r="J774" s="1"/>
      <c r="K774" s="92"/>
      <c r="L774" s="92"/>
    </row>
    <row r="775" spans="1:12" ht="17.25" customHeight="1" thickTop="1">
      <c r="A775" s="307" t="s">
        <v>479</v>
      </c>
      <c r="B775" s="323"/>
      <c r="C775" s="323"/>
      <c r="D775" s="323"/>
      <c r="E775" s="323"/>
      <c r="F775" s="323"/>
      <c r="G775" s="323"/>
      <c r="H775" s="323"/>
      <c r="I775" s="323"/>
      <c r="J775" s="323"/>
      <c r="K775" s="142"/>
      <c r="L775" s="1"/>
    </row>
    <row r="776" spans="1:12" ht="17.25" customHeight="1">
      <c r="A776" s="1127" t="s">
        <v>229</v>
      </c>
      <c r="B776" s="1127"/>
      <c r="C776" s="1127"/>
      <c r="D776" s="1127"/>
      <c r="E776" s="1127"/>
      <c r="F776" s="1127"/>
      <c r="G776" s="1127"/>
      <c r="H776" s="1127"/>
      <c r="I776" s="1127"/>
      <c r="J776" s="1127"/>
      <c r="K776" s="1127"/>
      <c r="L776" s="1"/>
    </row>
    <row r="777" spans="1:12" ht="19.5" customHeight="1" hidden="1">
      <c r="A777" s="316"/>
      <c r="B777" s="851"/>
      <c r="C777" s="851"/>
      <c r="D777" s="851"/>
      <c r="E777" s="851"/>
      <c r="F777" s="851"/>
      <c r="G777" s="851"/>
      <c r="H777" s="851"/>
      <c r="I777" s="851"/>
      <c r="J777" s="851"/>
      <c r="K777" s="851"/>
      <c r="L777" s="1"/>
    </row>
    <row r="778" spans="1:12" ht="18.75" customHeight="1">
      <c r="A778" s="93"/>
      <c r="B778" s="93"/>
      <c r="C778" s="93"/>
      <c r="D778" s="93"/>
      <c r="E778" s="93"/>
      <c r="F778" s="93"/>
      <c r="G778" s="93"/>
      <c r="H778" s="93"/>
      <c r="I778" s="93"/>
      <c r="J778" s="93"/>
      <c r="K778" s="1"/>
      <c r="L778" s="1"/>
    </row>
    <row r="779" spans="1:25" ht="15.75" customHeight="1">
      <c r="A779" s="1045" t="s">
        <v>894</v>
      </c>
      <c r="B779" s="1045"/>
      <c r="C779" s="1045"/>
      <c r="D779" s="1045"/>
      <c r="E779" s="1045"/>
      <c r="F779" s="1045"/>
      <c r="G779" s="1045"/>
      <c r="H779" s="1045"/>
      <c r="I779" s="810"/>
      <c r="J779" s="810"/>
      <c r="K779" s="830"/>
      <c r="L779" s="830"/>
      <c r="M779" s="831"/>
      <c r="N779" s="584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</row>
    <row r="780" spans="1:25" ht="16.5" customHeight="1">
      <c r="A780" s="1011" t="s">
        <v>482</v>
      </c>
      <c r="B780" s="1011"/>
      <c r="C780" s="1011"/>
      <c r="D780" s="1011"/>
      <c r="E780" s="1011"/>
      <c r="F780" s="1011"/>
      <c r="G780" s="1011"/>
      <c r="H780" s="1011"/>
      <c r="I780" s="810"/>
      <c r="J780" s="810"/>
      <c r="K780" s="830"/>
      <c r="L780" s="830"/>
      <c r="M780" s="831"/>
      <c r="N780" s="584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</row>
    <row r="781" spans="1:25" ht="17.25" customHeight="1">
      <c r="A781" s="1011" t="s">
        <v>483</v>
      </c>
      <c r="B781" s="1011"/>
      <c r="C781" s="1011"/>
      <c r="D781" s="1011"/>
      <c r="E781" s="1011"/>
      <c r="F781" s="1011"/>
      <c r="G781" s="1011"/>
      <c r="H781" s="1011"/>
      <c r="I781" s="810"/>
      <c r="J781" s="810"/>
      <c r="K781" s="830"/>
      <c r="L781" s="830"/>
      <c r="M781" s="831"/>
      <c r="N781" s="584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</row>
    <row r="782" spans="1:25" ht="16.5" customHeight="1">
      <c r="A782" s="1011" t="s">
        <v>771</v>
      </c>
      <c r="B782" s="1011"/>
      <c r="C782" s="1011"/>
      <c r="D782" s="1011"/>
      <c r="E782" s="1011"/>
      <c r="F782" s="1011"/>
      <c r="G782" s="1011"/>
      <c r="H782" s="1011"/>
      <c r="I782" s="1012"/>
      <c r="J782" s="1012"/>
      <c r="K782" s="1012"/>
      <c r="L782" s="1012"/>
      <c r="M782" s="1012"/>
      <c r="N782" s="584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</row>
    <row r="783" spans="1:25" ht="16.5" customHeight="1">
      <c r="A783" s="1011" t="s">
        <v>772</v>
      </c>
      <c r="B783" s="1011"/>
      <c r="C783" s="1011"/>
      <c r="D783" s="1011"/>
      <c r="E783" s="1011"/>
      <c r="F783" s="1011"/>
      <c r="G783" s="1011"/>
      <c r="H783" s="1011"/>
      <c r="I783" s="1012"/>
      <c r="J783" s="1012"/>
      <c r="K783" s="1012"/>
      <c r="L783" s="1012"/>
      <c r="M783" s="1012"/>
      <c r="N783" s="584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</row>
    <row r="784" spans="1:12" ht="14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25.5" customHeight="1">
      <c r="A785" s="1126" t="s">
        <v>159</v>
      </c>
      <c r="B785" s="1126"/>
      <c r="C785" s="1126"/>
      <c r="D785" s="1126"/>
      <c r="E785" s="1126"/>
      <c r="F785" s="1126"/>
      <c r="G785" s="1126"/>
      <c r="H785" s="1126"/>
      <c r="I785" s="1"/>
      <c r="J785" s="1"/>
      <c r="K785" s="1"/>
      <c r="L785" s="1"/>
    </row>
    <row r="786" spans="1:12" ht="24" customHeight="1" thickBot="1">
      <c r="A786" s="95"/>
      <c r="B786" s="94"/>
      <c r="C786" s="95"/>
      <c r="D786" s="95"/>
      <c r="E786" s="95"/>
      <c r="F786" s="95"/>
      <c r="G786" s="95"/>
      <c r="H786" s="95"/>
      <c r="I786" s="1"/>
      <c r="J786" s="1"/>
      <c r="K786" s="1"/>
      <c r="L786" s="1"/>
    </row>
    <row r="787" spans="1:12" ht="27" customHeight="1" thickTop="1">
      <c r="A787" s="856" t="s">
        <v>4</v>
      </c>
      <c r="B787" s="32"/>
      <c r="C787" s="1030" t="s">
        <v>592</v>
      </c>
      <c r="D787" s="1031"/>
      <c r="E787" s="1030" t="s">
        <v>593</v>
      </c>
      <c r="F787" s="1031"/>
      <c r="G787" s="1030" t="s">
        <v>594</v>
      </c>
      <c r="H787" s="1031"/>
      <c r="I787" s="6"/>
      <c r="J787" s="1"/>
      <c r="K787" s="92"/>
      <c r="L787" s="92"/>
    </row>
    <row r="788" spans="1:12" ht="15">
      <c r="A788" s="185" t="s">
        <v>109</v>
      </c>
      <c r="B788" s="479" t="s">
        <v>836</v>
      </c>
      <c r="C788" s="987">
        <f>CEILING(95*$Z$3,0.1)</f>
        <v>118.80000000000001</v>
      </c>
      <c r="D788" s="1125"/>
      <c r="E788" s="987">
        <f>CEILING(95*$Z$3,0.1)</f>
        <v>118.80000000000001</v>
      </c>
      <c r="F788" s="1125"/>
      <c r="G788" s="987">
        <f>CEILING(95*$Z$3,0.1)</f>
        <v>118.80000000000001</v>
      </c>
      <c r="H788" s="1125"/>
      <c r="I788" s="6"/>
      <c r="J788" s="1"/>
      <c r="K788" s="92"/>
      <c r="L788" s="92"/>
    </row>
    <row r="789" spans="1:12" ht="14.25" customHeight="1">
      <c r="A789" s="184" t="s">
        <v>6</v>
      </c>
      <c r="B789" s="396" t="s">
        <v>837</v>
      </c>
      <c r="C789" s="955">
        <f>CEILING((C788+50*$Z$3),0.1)</f>
        <v>181.3</v>
      </c>
      <c r="D789" s="956"/>
      <c r="E789" s="955">
        <f>CEILING((E788+50*$Z$3),0.1)</f>
        <v>181.3</v>
      </c>
      <c r="F789" s="956"/>
      <c r="G789" s="955">
        <f>CEILING((G788+50*$Z$3),0.1)</f>
        <v>181.3</v>
      </c>
      <c r="H789" s="956"/>
      <c r="I789" s="6"/>
      <c r="J789" s="1"/>
      <c r="K789" s="92"/>
      <c r="L789" s="92"/>
    </row>
    <row r="790" spans="1:12" ht="14.25">
      <c r="A790" s="571"/>
      <c r="B790" s="396" t="s">
        <v>839</v>
      </c>
      <c r="C790" s="947">
        <f>CEILING(140*$Z$1,0.1)</f>
        <v>175</v>
      </c>
      <c r="D790" s="957"/>
      <c r="E790" s="947">
        <f>CEILING(200*$Z$1,0.1)</f>
        <v>250</v>
      </c>
      <c r="F790" s="957"/>
      <c r="G790" s="947">
        <f>CEILING(140*$Z$1,0.1)</f>
        <v>175</v>
      </c>
      <c r="H790" s="957"/>
      <c r="I790" s="6"/>
      <c r="J790" s="1"/>
      <c r="K790" s="92"/>
      <c r="L790" s="92"/>
    </row>
    <row r="791" spans="1:12" ht="14.25">
      <c r="A791" s="515" t="s">
        <v>931</v>
      </c>
      <c r="B791" s="347" t="s">
        <v>301</v>
      </c>
      <c r="C791" s="951">
        <f>CEILING((C790+50*$Z$1),0.1)</f>
        <v>237.5</v>
      </c>
      <c r="D791" s="952"/>
      <c r="E791" s="951">
        <f>CEILING((E790+50*$Z$1),0.1)</f>
        <v>312.5</v>
      </c>
      <c r="F791" s="952"/>
      <c r="G791" s="951">
        <f>CEILING((G790+50*$Z$1),0.1)</f>
        <v>237.5</v>
      </c>
      <c r="H791" s="952"/>
      <c r="I791" s="6"/>
      <c r="J791" s="1"/>
      <c r="K791" s="92"/>
      <c r="L791" s="92"/>
    </row>
    <row r="792" spans="1:12" ht="14.25">
      <c r="A792" s="571" t="s">
        <v>932</v>
      </c>
      <c r="B792" s="396" t="s">
        <v>838</v>
      </c>
      <c r="C792" s="947">
        <f>CEILING(150*$Z$1,0.1)</f>
        <v>187.5</v>
      </c>
      <c r="D792" s="957"/>
      <c r="E792" s="947">
        <f>CEILING(210*$Z$1,0.1)</f>
        <v>262.5</v>
      </c>
      <c r="F792" s="957"/>
      <c r="G792" s="947">
        <f>CEILING(150*$Z$1,0.1)</f>
        <v>187.5</v>
      </c>
      <c r="H792" s="957"/>
      <c r="I792" s="6"/>
      <c r="J792" s="1"/>
      <c r="K792" s="92"/>
      <c r="L792" s="92"/>
    </row>
    <row r="793" spans="1:12" ht="14.25">
      <c r="A793" s="571" t="s">
        <v>940</v>
      </c>
      <c r="B793" s="347" t="s">
        <v>832</v>
      </c>
      <c r="C793" s="947">
        <f>CEILING(160*$Z$1,0.1)</f>
        <v>200</v>
      </c>
      <c r="D793" s="957"/>
      <c r="E793" s="947">
        <f>CEILING(220*$Z$1,0.1)</f>
        <v>275</v>
      </c>
      <c r="F793" s="957"/>
      <c r="G793" s="947">
        <f>CEILING(160*$Z$1,0.1)</f>
        <v>200</v>
      </c>
      <c r="H793" s="957"/>
      <c r="I793" s="6"/>
      <c r="J793" s="1"/>
      <c r="K793" s="92"/>
      <c r="L793" s="92"/>
    </row>
    <row r="794" spans="1:12" ht="17.25" customHeight="1">
      <c r="A794" s="299"/>
      <c r="B794" s="347" t="s">
        <v>833</v>
      </c>
      <c r="C794" s="947">
        <f>CEILING(170*$Z$1,0.1)</f>
        <v>212.5</v>
      </c>
      <c r="D794" s="957"/>
      <c r="E794" s="947">
        <f>CEILING(230*$Z$1,0.1)</f>
        <v>287.5</v>
      </c>
      <c r="F794" s="957"/>
      <c r="G794" s="947">
        <f>CEILING(170*$Z$1,0.1)</f>
        <v>212.5</v>
      </c>
      <c r="H794" s="957"/>
      <c r="I794" s="6"/>
      <c r="J794" s="1"/>
      <c r="K794" s="92"/>
      <c r="L794" s="92"/>
    </row>
    <row r="795" spans="1:12" ht="19.5" customHeight="1" thickBot="1">
      <c r="A795" s="378" t="s">
        <v>326</v>
      </c>
      <c r="B795" s="400" t="s">
        <v>834</v>
      </c>
      <c r="C795" s="947">
        <f>CEILING(850*$Z$1,0.1)</f>
        <v>1062.5</v>
      </c>
      <c r="D795" s="957"/>
      <c r="E795" s="947">
        <f>CEILING(850*$Z$1,0.1)</f>
        <v>1062.5</v>
      </c>
      <c r="F795" s="957"/>
      <c r="G795" s="947">
        <f>CEILING(850*$Z$1,0.1)</f>
        <v>1062.5</v>
      </c>
      <c r="H795" s="957"/>
      <c r="I795" s="6"/>
      <c r="J795" s="1"/>
      <c r="K795" s="92"/>
      <c r="L795" s="92"/>
    </row>
    <row r="796" spans="1:12" ht="15" customHeight="1" thickTop="1">
      <c r="A796" s="1122" t="s">
        <v>835</v>
      </c>
      <c r="B796" s="1123"/>
      <c r="C796" s="1123"/>
      <c r="D796" s="1123"/>
      <c r="E796" s="1123"/>
      <c r="F796" s="1123"/>
      <c r="G796" s="1123"/>
      <c r="H796" s="1123"/>
      <c r="I796" s="1"/>
      <c r="J796" s="1"/>
      <c r="K796" s="92"/>
      <c r="L796" s="92"/>
    </row>
    <row r="797" spans="1:12" ht="30.75" customHeight="1">
      <c r="A797" s="1131" t="s">
        <v>941</v>
      </c>
      <c r="B797" s="1012"/>
      <c r="C797" s="1012"/>
      <c r="D797" s="1012"/>
      <c r="E797" s="1012"/>
      <c r="F797" s="1012"/>
      <c r="G797" s="1012"/>
      <c r="H797" s="1012"/>
      <c r="I797" s="1"/>
      <c r="J797" s="1"/>
      <c r="K797" s="92"/>
      <c r="L797" s="92"/>
    </row>
    <row r="798" spans="1:12" ht="21" customHeight="1" thickBot="1">
      <c r="A798" s="95"/>
      <c r="B798" s="94"/>
      <c r="C798" s="95"/>
      <c r="D798" s="95"/>
      <c r="E798" s="95"/>
      <c r="F798" s="95"/>
      <c r="G798" s="95"/>
      <c r="H798" s="95"/>
      <c r="I798" s="1"/>
      <c r="J798" s="1"/>
      <c r="K798" s="1"/>
      <c r="L798" s="1"/>
    </row>
    <row r="799" spans="1:12" ht="24.75" customHeight="1" thickTop="1">
      <c r="A799" s="697" t="s">
        <v>4</v>
      </c>
      <c r="B799" s="32"/>
      <c r="C799" s="945" t="s">
        <v>592</v>
      </c>
      <c r="D799" s="946"/>
      <c r="E799" s="945" t="s">
        <v>593</v>
      </c>
      <c r="F799" s="946"/>
      <c r="G799" s="945" t="s">
        <v>594</v>
      </c>
      <c r="H799" s="964"/>
      <c r="I799" s="288"/>
      <c r="J799" s="25"/>
      <c r="K799" s="25"/>
      <c r="L799" s="25"/>
    </row>
    <row r="800" spans="1:12" ht="15">
      <c r="A800" s="185" t="s">
        <v>84</v>
      </c>
      <c r="B800" s="617" t="s">
        <v>285</v>
      </c>
      <c r="C800" s="955">
        <f>CEILING(51*$Z$3,0.1)</f>
        <v>63.800000000000004</v>
      </c>
      <c r="D800" s="960"/>
      <c r="E800" s="951">
        <f>CEILING(65*$Z$1,0.1)</f>
        <v>81.30000000000001</v>
      </c>
      <c r="F800" s="954"/>
      <c r="G800" s="951">
        <f>CEILING(60*$Z$1,0.1)</f>
        <v>75</v>
      </c>
      <c r="H800" s="954"/>
      <c r="I800" s="6"/>
      <c r="J800" s="1"/>
      <c r="K800" s="92"/>
      <c r="L800" s="92"/>
    </row>
    <row r="801" spans="1:12" ht="15">
      <c r="A801" s="184" t="s">
        <v>6</v>
      </c>
      <c r="B801" s="568" t="s">
        <v>286</v>
      </c>
      <c r="C801" s="955">
        <f>CEILING((C800+25*$Z$3),0.1)</f>
        <v>95.10000000000001</v>
      </c>
      <c r="D801" s="956"/>
      <c r="E801" s="951">
        <f>CEILING((E800+25*$Z$1),0.1)</f>
        <v>112.60000000000001</v>
      </c>
      <c r="F801" s="952"/>
      <c r="G801" s="951">
        <f>CEILING((G800+25*$Z$1),0.1)</f>
        <v>106.30000000000001</v>
      </c>
      <c r="H801" s="952"/>
      <c r="I801" s="6"/>
      <c r="J801" s="1"/>
      <c r="K801" s="92"/>
      <c r="L801" s="92"/>
    </row>
    <row r="802" spans="1:12" ht="14.25">
      <c r="A802" s="515" t="s">
        <v>931</v>
      </c>
      <c r="B802" s="568" t="s">
        <v>69</v>
      </c>
      <c r="C802" s="955">
        <f>CEILING((C800*0.85),0.1)</f>
        <v>54.300000000000004</v>
      </c>
      <c r="D802" s="956"/>
      <c r="E802" s="951">
        <f>CEILING((E800*0.85),0.1)</f>
        <v>69.2</v>
      </c>
      <c r="F802" s="952"/>
      <c r="G802" s="951">
        <f>CEILING((G800*0.85),0.1)</f>
        <v>63.800000000000004</v>
      </c>
      <c r="H802" s="952"/>
      <c r="I802" s="6"/>
      <c r="J802" s="1"/>
      <c r="K802" s="92"/>
      <c r="L802" s="92"/>
    </row>
    <row r="803" spans="1:12" ht="14.25">
      <c r="A803" s="571" t="s">
        <v>932</v>
      </c>
      <c r="B803" s="641" t="s">
        <v>101</v>
      </c>
      <c r="C803" s="949">
        <v>0</v>
      </c>
      <c r="D803" s="953"/>
      <c r="E803" s="949">
        <v>0</v>
      </c>
      <c r="F803" s="953"/>
      <c r="G803" s="949">
        <v>0</v>
      </c>
      <c r="H803" s="953"/>
      <c r="I803" s="6"/>
      <c r="J803" s="1"/>
      <c r="K803" s="92"/>
      <c r="L803" s="92"/>
    </row>
    <row r="804" spans="1:12" ht="15" customHeight="1">
      <c r="A804" s="571" t="s">
        <v>939</v>
      </c>
      <c r="B804" s="568" t="s">
        <v>546</v>
      </c>
      <c r="C804" s="947">
        <f>CEILING(78*$Z$1,0.1)</f>
        <v>97.5</v>
      </c>
      <c r="D804" s="957"/>
      <c r="E804" s="947">
        <f>CEILING(83*$Z$1,0.1)</f>
        <v>103.80000000000001</v>
      </c>
      <c r="F804" s="957"/>
      <c r="G804" s="947">
        <f>CEILING(78*$Z$1,0.1)</f>
        <v>97.5</v>
      </c>
      <c r="H804" s="957"/>
      <c r="I804" s="6"/>
      <c r="J804" s="1"/>
      <c r="K804" s="92"/>
      <c r="L804" s="92"/>
    </row>
    <row r="805" spans="1:12" ht="15.75" thickBot="1">
      <c r="A805" s="378" t="s">
        <v>326</v>
      </c>
      <c r="B805" s="574" t="s">
        <v>547</v>
      </c>
      <c r="C805" s="967">
        <f>CEILING((C804+25*$Z$1),0.1)</f>
        <v>128.8</v>
      </c>
      <c r="D805" s="973"/>
      <c r="E805" s="967">
        <f>CEILING((E804+25*$Z$1),0.1)</f>
        <v>135.1</v>
      </c>
      <c r="F805" s="973"/>
      <c r="G805" s="967">
        <f>CEILING((G804+25*$Z$1),0.1)</f>
        <v>128.8</v>
      </c>
      <c r="H805" s="973"/>
      <c r="I805" s="6"/>
      <c r="J805" s="1"/>
      <c r="K805" s="92"/>
      <c r="L805" s="92"/>
    </row>
    <row r="806" spans="1:15" ht="15" thickTop="1">
      <c r="A806" s="544" t="s">
        <v>540</v>
      </c>
      <c r="B806" s="666"/>
      <c r="C806" s="666"/>
      <c r="D806" s="666"/>
      <c r="E806" s="666"/>
      <c r="F806" s="666"/>
      <c r="G806" s="666"/>
      <c r="H806" s="666"/>
      <c r="I806" s="1"/>
      <c r="J806" s="1"/>
      <c r="K806" s="92"/>
      <c r="L806" s="92"/>
      <c r="M806" s="273"/>
      <c r="N806" s="273"/>
      <c r="O806" s="273"/>
    </row>
    <row r="807" spans="1:15" ht="14.25" customHeight="1">
      <c r="A807" s="1049" t="s">
        <v>562</v>
      </c>
      <c r="B807" s="1050"/>
      <c r="C807" s="1050"/>
      <c r="D807" s="1050"/>
      <c r="E807" s="1050"/>
      <c r="F807" s="1050"/>
      <c r="G807" s="1050"/>
      <c r="H807" s="1050"/>
      <c r="I807" s="1"/>
      <c r="J807" s="1"/>
      <c r="K807" s="92"/>
      <c r="L807" s="92"/>
      <c r="M807" s="273"/>
      <c r="N807" s="273"/>
      <c r="O807" s="273"/>
    </row>
    <row r="808" spans="1:15" ht="19.5" customHeight="1" thickBot="1">
      <c r="A808" s="66"/>
      <c r="B808" s="51"/>
      <c r="C808" s="59"/>
      <c r="D808" s="33"/>
      <c r="E808" s="59"/>
      <c r="F808" s="33"/>
      <c r="G808" s="59"/>
      <c r="H808" s="33"/>
      <c r="I808" s="1"/>
      <c r="J808" s="1"/>
      <c r="K808" s="92"/>
      <c r="L808" s="92"/>
      <c r="M808" s="273"/>
      <c r="N808" s="273"/>
      <c r="O808" s="273"/>
    </row>
    <row r="809" spans="1:15" ht="25.5" customHeight="1" thickTop="1">
      <c r="A809" s="697" t="s">
        <v>4</v>
      </c>
      <c r="B809" s="32"/>
      <c r="C809" s="945" t="s">
        <v>592</v>
      </c>
      <c r="D809" s="946"/>
      <c r="E809" s="945" t="s">
        <v>593</v>
      </c>
      <c r="F809" s="946"/>
      <c r="G809" s="945" t="s">
        <v>594</v>
      </c>
      <c r="H809" s="964"/>
      <c r="I809" s="6"/>
      <c r="J809" s="1"/>
      <c r="K809" s="92"/>
      <c r="L809" s="92"/>
      <c r="M809" s="273"/>
      <c r="N809" s="273"/>
      <c r="O809" s="273"/>
    </row>
    <row r="810" spans="1:15" ht="15">
      <c r="A810" s="99" t="s">
        <v>26</v>
      </c>
      <c r="B810" s="617" t="s">
        <v>285</v>
      </c>
      <c r="C810" s="981">
        <f>CEILING(60*$Z$1,0.1)</f>
        <v>75</v>
      </c>
      <c r="D810" s="982"/>
      <c r="E810" s="981">
        <f>CEILING(65*$Z$1,0.1)</f>
        <v>81.30000000000001</v>
      </c>
      <c r="F810" s="982"/>
      <c r="G810" s="981">
        <f>CEILING(60*$Z$1,0.1)</f>
        <v>75</v>
      </c>
      <c r="H810" s="982"/>
      <c r="I810" s="6"/>
      <c r="J810" s="1"/>
      <c r="K810" s="92"/>
      <c r="L810" s="92"/>
      <c r="M810" s="273"/>
      <c r="N810" s="273"/>
      <c r="O810" s="273"/>
    </row>
    <row r="811" spans="1:15" ht="15">
      <c r="A811" s="184" t="s">
        <v>6</v>
      </c>
      <c r="B811" s="568" t="s">
        <v>286</v>
      </c>
      <c r="C811" s="951">
        <f>CEILING((C810+25*$Z$1),0.1)</f>
        <v>106.30000000000001</v>
      </c>
      <c r="D811" s="952"/>
      <c r="E811" s="951">
        <f>CEILING((E810+25*$Z$1),0.1)</f>
        <v>112.60000000000001</v>
      </c>
      <c r="F811" s="952"/>
      <c r="G811" s="951">
        <f>CEILING((G810+25*$Z$1),0.1)</f>
        <v>106.30000000000001</v>
      </c>
      <c r="H811" s="952"/>
      <c r="I811" s="7"/>
      <c r="J811" s="1"/>
      <c r="K811" s="92"/>
      <c r="L811" s="92"/>
      <c r="M811" s="273"/>
      <c r="N811" s="273"/>
      <c r="O811" s="273"/>
    </row>
    <row r="812" spans="1:15" ht="15.75" customHeight="1">
      <c r="A812" s="185"/>
      <c r="B812" s="568" t="s">
        <v>9</v>
      </c>
      <c r="C812" s="951">
        <f>CEILING((C810*0.85),0.1)</f>
        <v>63.800000000000004</v>
      </c>
      <c r="D812" s="952"/>
      <c r="E812" s="951">
        <f>CEILING((E810*0.85),0.1)</f>
        <v>69.2</v>
      </c>
      <c r="F812" s="952"/>
      <c r="G812" s="951">
        <f>CEILING((G810*0.85),0.1)</f>
        <v>63.800000000000004</v>
      </c>
      <c r="H812" s="952"/>
      <c r="I812" s="7"/>
      <c r="J812" s="1"/>
      <c r="K812" s="92"/>
      <c r="L812" s="92"/>
      <c r="M812" s="273"/>
      <c r="N812" s="273"/>
      <c r="O812" s="273"/>
    </row>
    <row r="813" spans="1:15" ht="15.75" thickBot="1">
      <c r="A813" s="378" t="s">
        <v>454</v>
      </c>
      <c r="B813" s="649" t="s">
        <v>101</v>
      </c>
      <c r="C813" s="995">
        <v>0</v>
      </c>
      <c r="D813" s="996"/>
      <c r="E813" s="995">
        <v>0</v>
      </c>
      <c r="F813" s="996"/>
      <c r="G813" s="995">
        <v>0</v>
      </c>
      <c r="H813" s="996"/>
      <c r="I813" s="7"/>
      <c r="J813" s="1"/>
      <c r="K813" s="92"/>
      <c r="L813" s="92"/>
      <c r="M813" s="273"/>
      <c r="N813" s="273"/>
      <c r="O813" s="273"/>
    </row>
    <row r="814" spans="1:15" ht="16.5" customHeight="1" thickTop="1">
      <c r="A814" s="616" t="s">
        <v>840</v>
      </c>
      <c r="B814" s="666"/>
      <c r="C814" s="666"/>
      <c r="D814" s="666"/>
      <c r="E814" s="666"/>
      <c r="F814" s="666"/>
      <c r="G814" s="666"/>
      <c r="H814" s="666"/>
      <c r="I814" s="1"/>
      <c r="J814" s="1"/>
      <c r="K814" s="92"/>
      <c r="L814" s="92"/>
      <c r="M814" s="273"/>
      <c r="N814" s="273"/>
      <c r="O814" s="273"/>
    </row>
    <row r="815" spans="1:15" ht="30.75" customHeight="1">
      <c r="A815" s="1049" t="s">
        <v>841</v>
      </c>
      <c r="B815" s="1050"/>
      <c r="C815" s="1050"/>
      <c r="D815" s="1050"/>
      <c r="E815" s="1050"/>
      <c r="F815" s="1050"/>
      <c r="G815" s="1050"/>
      <c r="H815" s="1050"/>
      <c r="I815" s="1"/>
      <c r="J815" s="1"/>
      <c r="K815" s="92"/>
      <c r="L815" s="92"/>
      <c r="M815" s="273"/>
      <c r="N815" s="273"/>
      <c r="O815" s="273"/>
    </row>
    <row r="816" spans="1:15" ht="18" customHeight="1" thickBot="1">
      <c r="A816" s="302"/>
      <c r="B816" s="154"/>
      <c r="C816" s="389"/>
      <c r="D816" s="389"/>
      <c r="E816" s="389"/>
      <c r="F816" s="389"/>
      <c r="G816" s="389"/>
      <c r="H816" s="389"/>
      <c r="I816" s="1"/>
      <c r="J816" s="1"/>
      <c r="K816" s="92"/>
      <c r="L816" s="92"/>
      <c r="M816" s="273"/>
      <c r="N816" s="273"/>
      <c r="O816" s="273"/>
    </row>
    <row r="817" spans="1:15" ht="26.25" customHeight="1" thickTop="1">
      <c r="A817" s="697" t="s">
        <v>4</v>
      </c>
      <c r="B817" s="32"/>
      <c r="C817" s="945" t="s">
        <v>592</v>
      </c>
      <c r="D817" s="946"/>
      <c r="E817" s="945" t="s">
        <v>593</v>
      </c>
      <c r="F817" s="946"/>
      <c r="G817" s="945" t="s">
        <v>594</v>
      </c>
      <c r="H817" s="964"/>
      <c r="I817" s="288"/>
      <c r="J817" s="25"/>
      <c r="K817" s="25"/>
      <c r="L817" s="25"/>
      <c r="M817" s="273"/>
      <c r="N817" s="273"/>
      <c r="O817" s="273"/>
    </row>
    <row r="818" spans="1:15" ht="15">
      <c r="A818" s="185" t="s">
        <v>85</v>
      </c>
      <c r="B818" s="276" t="s">
        <v>11</v>
      </c>
      <c r="C818" s="951">
        <f>CEILING(45*$Z$1,0.1)</f>
        <v>56.300000000000004</v>
      </c>
      <c r="D818" s="954"/>
      <c r="E818" s="951">
        <f>CEILING(50*$Z$1,0.1)</f>
        <v>62.5</v>
      </c>
      <c r="F818" s="954"/>
      <c r="G818" s="951">
        <f>CEILING(45*$Z$1,0.1)</f>
        <v>56.300000000000004</v>
      </c>
      <c r="H818" s="954"/>
      <c r="I818" s="6"/>
      <c r="J818" s="1"/>
      <c r="K818" s="92"/>
      <c r="L818" s="92"/>
      <c r="M818" s="273"/>
      <c r="N818" s="273"/>
      <c r="O818" s="273"/>
    </row>
    <row r="819" spans="1:15" ht="15">
      <c r="A819" s="184" t="s">
        <v>18</v>
      </c>
      <c r="B819" s="277" t="s">
        <v>7</v>
      </c>
      <c r="C819" s="951">
        <f>CEILING((C818+20*$Z$1),0.1)</f>
        <v>81.30000000000001</v>
      </c>
      <c r="D819" s="952"/>
      <c r="E819" s="951">
        <f>CEILING((E818+20*$Z$1),0.1)</f>
        <v>87.5</v>
      </c>
      <c r="F819" s="952"/>
      <c r="G819" s="951">
        <f>CEILING((G818+20*$Z$1),0.1)</f>
        <v>81.30000000000001</v>
      </c>
      <c r="H819" s="952"/>
      <c r="I819" s="6"/>
      <c r="J819" s="1"/>
      <c r="K819" s="92"/>
      <c r="L819" s="92"/>
      <c r="M819" s="273"/>
      <c r="N819" s="273"/>
      <c r="O819" s="273"/>
    </row>
    <row r="820" spans="1:15" ht="15">
      <c r="A820" s="184"/>
      <c r="B820" s="335" t="s">
        <v>69</v>
      </c>
      <c r="C820" s="951">
        <f>CEILING((C818*0.85),0.1)</f>
        <v>47.900000000000006</v>
      </c>
      <c r="D820" s="952"/>
      <c r="E820" s="951">
        <f>CEILING((E818*0.85),0.1)</f>
        <v>53.2</v>
      </c>
      <c r="F820" s="952"/>
      <c r="G820" s="951">
        <f>CEILING((G818*0.85),0.1)</f>
        <v>47.900000000000006</v>
      </c>
      <c r="H820" s="952"/>
      <c r="I820" s="7"/>
      <c r="J820" s="1"/>
      <c r="K820" s="92"/>
      <c r="L820" s="92"/>
      <c r="M820" s="273"/>
      <c r="N820" s="273"/>
      <c r="O820" s="273"/>
    </row>
    <row r="821" spans="1:15" ht="15">
      <c r="A821" s="184"/>
      <c r="B821" s="340" t="s">
        <v>101</v>
      </c>
      <c r="C821" s="947">
        <v>0</v>
      </c>
      <c r="D821" s="957"/>
      <c r="E821" s="947">
        <v>0</v>
      </c>
      <c r="F821" s="957"/>
      <c r="G821" s="947">
        <v>0</v>
      </c>
      <c r="H821" s="957"/>
      <c r="I821" s="7"/>
      <c r="J821" s="1"/>
      <c r="K821" s="92"/>
      <c r="L821" s="92"/>
      <c r="M821" s="273"/>
      <c r="N821" s="273"/>
      <c r="O821" s="273"/>
    </row>
    <row r="822" spans="1:15" ht="15" customHeight="1">
      <c r="A822" s="184"/>
      <c r="B822" s="313" t="s">
        <v>74</v>
      </c>
      <c r="C822" s="947">
        <f>CEILING(57*$Z$1,0.1)</f>
        <v>71.3</v>
      </c>
      <c r="D822" s="957"/>
      <c r="E822" s="947">
        <f>CEILING(62*$Z$1,0.1)</f>
        <v>77.5</v>
      </c>
      <c r="F822" s="957"/>
      <c r="G822" s="947">
        <f>CEILING(57*$Z$1,0.1)</f>
        <v>71.3</v>
      </c>
      <c r="H822" s="957"/>
      <c r="I822" s="1"/>
      <c r="J822" s="1"/>
      <c r="K822" s="92"/>
      <c r="L822" s="92"/>
      <c r="M822" s="273"/>
      <c r="N822" s="273"/>
      <c r="O822" s="273"/>
    </row>
    <row r="823" spans="1:15" ht="15">
      <c r="A823" s="184"/>
      <c r="B823" s="313" t="s">
        <v>75</v>
      </c>
      <c r="C823" s="947">
        <f>CEILING((C822+20*$Z$1),0.1)</f>
        <v>96.30000000000001</v>
      </c>
      <c r="D823" s="957"/>
      <c r="E823" s="947">
        <f>CEILING((E822+20*$Z$1),0.1)</f>
        <v>102.5</v>
      </c>
      <c r="F823" s="957"/>
      <c r="G823" s="947">
        <f>CEILING((G822+20*$Z$1),0.1)</f>
        <v>96.30000000000001</v>
      </c>
      <c r="H823" s="957"/>
      <c r="I823" s="1"/>
      <c r="J823" s="1"/>
      <c r="K823" s="92"/>
      <c r="L823" s="92"/>
      <c r="M823" s="273"/>
      <c r="N823" s="273"/>
      <c r="O823" s="273"/>
    </row>
    <row r="824" spans="1:15" ht="15">
      <c r="A824" s="184"/>
      <c r="B824" s="313" t="s">
        <v>133</v>
      </c>
      <c r="C824" s="947">
        <f>CEILING(60*$Z$1,0.1)</f>
        <v>75</v>
      </c>
      <c r="D824" s="957"/>
      <c r="E824" s="947">
        <f>CEILING(65*$Z$1,0.1)</f>
        <v>81.30000000000001</v>
      </c>
      <c r="F824" s="957"/>
      <c r="G824" s="947">
        <f>CEILING(60*$Z$1,0.1)</f>
        <v>75</v>
      </c>
      <c r="H824" s="957"/>
      <c r="I824" s="1"/>
      <c r="J824" s="1"/>
      <c r="K824" s="92"/>
      <c r="L824" s="92"/>
      <c r="M824" s="273"/>
      <c r="N824" s="273"/>
      <c r="O824" s="273"/>
    </row>
    <row r="825" spans="1:15" ht="15.75" thickBot="1">
      <c r="A825" s="378" t="s">
        <v>326</v>
      </c>
      <c r="B825" s="339" t="s">
        <v>253</v>
      </c>
      <c r="C825" s="958">
        <f>CEILING((C824+20*$Z$1),0.1)</f>
        <v>100</v>
      </c>
      <c r="D825" s="959"/>
      <c r="E825" s="958">
        <f>CEILING((E824+20*$Z$1),0.1)</f>
        <v>106.30000000000001</v>
      </c>
      <c r="F825" s="959"/>
      <c r="G825" s="958">
        <f>CEILING((G824+20*$Z$1),0.1)</f>
        <v>100</v>
      </c>
      <c r="H825" s="959"/>
      <c r="I825" s="101"/>
      <c r="J825" s="101"/>
      <c r="K825" s="70"/>
      <c r="L825" s="70"/>
      <c r="M825" s="273"/>
      <c r="N825" s="273"/>
      <c r="O825" s="273"/>
    </row>
    <row r="826" spans="1:15" ht="15" thickTop="1">
      <c r="A826" s="544" t="s">
        <v>540</v>
      </c>
      <c r="B826" s="666"/>
      <c r="C826" s="666"/>
      <c r="D826" s="666"/>
      <c r="E826" s="666"/>
      <c r="F826" s="666"/>
      <c r="G826" s="666"/>
      <c r="H826" s="666"/>
      <c r="I826" s="101"/>
      <c r="J826" s="101"/>
      <c r="K826" s="70"/>
      <c r="L826" s="70"/>
      <c r="M826" s="273"/>
      <c r="N826" s="273"/>
      <c r="O826" s="273"/>
    </row>
    <row r="827" spans="1:15" ht="14.25">
      <c r="A827" s="1049" t="s">
        <v>561</v>
      </c>
      <c r="B827" s="1050"/>
      <c r="C827" s="1050"/>
      <c r="D827" s="1050"/>
      <c r="E827" s="1050"/>
      <c r="F827" s="1050"/>
      <c r="G827" s="1050"/>
      <c r="H827" s="1050"/>
      <c r="I827" s="101"/>
      <c r="J827" s="101"/>
      <c r="K827" s="70"/>
      <c r="L827" s="70"/>
      <c r="M827" s="273"/>
      <c r="N827" s="273"/>
      <c r="O827" s="273"/>
    </row>
    <row r="828" spans="1:15" ht="15.75" customHeight="1" thickBot="1">
      <c r="A828" s="153"/>
      <c r="B828" s="153"/>
      <c r="C828" s="153"/>
      <c r="D828" s="153"/>
      <c r="E828" s="153"/>
      <c r="F828" s="35"/>
      <c r="G828" s="35"/>
      <c r="H828" s="35"/>
      <c r="I828" s="101"/>
      <c r="J828" s="101"/>
      <c r="K828" s="70"/>
      <c r="L828" s="70"/>
      <c r="M828" s="273"/>
      <c r="N828" s="273"/>
      <c r="O828" s="273"/>
    </row>
    <row r="829" spans="1:15" ht="25.5" customHeight="1" thickTop="1">
      <c r="A829" s="697" t="s">
        <v>4</v>
      </c>
      <c r="B829" s="32"/>
      <c r="C829" s="945" t="s">
        <v>592</v>
      </c>
      <c r="D829" s="946"/>
      <c r="E829" s="945" t="s">
        <v>593</v>
      </c>
      <c r="F829" s="946"/>
      <c r="G829" s="945" t="s">
        <v>594</v>
      </c>
      <c r="H829" s="964"/>
      <c r="I829" s="290"/>
      <c r="J829" s="273"/>
      <c r="K829" s="273"/>
      <c r="L829" s="273"/>
      <c r="M829" s="273"/>
      <c r="N829" s="273"/>
      <c r="O829" s="273"/>
    </row>
    <row r="830" spans="1:15" ht="15">
      <c r="A830" s="228" t="s">
        <v>211</v>
      </c>
      <c r="B830" s="229" t="s">
        <v>11</v>
      </c>
      <c r="C830" s="981">
        <f>CEILING(67*$Z$1,0.1)</f>
        <v>83.80000000000001</v>
      </c>
      <c r="D830" s="982"/>
      <c r="E830" s="981">
        <f>CEILING(79*$Z$1,0.1)</f>
        <v>98.80000000000001</v>
      </c>
      <c r="F830" s="982"/>
      <c r="G830" s="981">
        <f>CEILING(67*$Z$1,0.1)</f>
        <v>83.80000000000001</v>
      </c>
      <c r="H830" s="982"/>
      <c r="I830" s="290"/>
      <c r="J830" s="273"/>
      <c r="K830" s="273"/>
      <c r="L830" s="273"/>
      <c r="M830" s="273"/>
      <c r="N830" s="273"/>
      <c r="O830" s="273"/>
    </row>
    <row r="831" spans="1:15" ht="15">
      <c r="A831" s="230" t="s">
        <v>6</v>
      </c>
      <c r="B831" s="231" t="s">
        <v>7</v>
      </c>
      <c r="C831" s="951">
        <f>CEILING(92*$Z$1,0.1)</f>
        <v>115</v>
      </c>
      <c r="D831" s="952"/>
      <c r="E831" s="951">
        <f>CEILING(104*$Z$1,0.1)</f>
        <v>130</v>
      </c>
      <c r="F831" s="952"/>
      <c r="G831" s="951">
        <f>CEILING(92*$Z$1,0.1)</f>
        <v>115</v>
      </c>
      <c r="H831" s="952"/>
      <c r="I831" s="290"/>
      <c r="J831" s="273"/>
      <c r="K831" s="273"/>
      <c r="L831" s="273"/>
      <c r="M831" s="273"/>
      <c r="N831" s="273"/>
      <c r="O831" s="273"/>
    </row>
    <row r="832" spans="1:15" ht="15">
      <c r="A832" s="230"/>
      <c r="B832" s="232" t="s">
        <v>69</v>
      </c>
      <c r="C832" s="951">
        <f>CEILING(57*$Z$1,0.1)</f>
        <v>71.3</v>
      </c>
      <c r="D832" s="952"/>
      <c r="E832" s="951">
        <f>CEILING(67*$Z$1,0.1)</f>
        <v>83.80000000000001</v>
      </c>
      <c r="F832" s="952"/>
      <c r="G832" s="951">
        <f>CEILING(57*$Z$1,0.1)</f>
        <v>71.3</v>
      </c>
      <c r="H832" s="952"/>
      <c r="I832" s="290"/>
      <c r="J832" s="273"/>
      <c r="K832" s="273"/>
      <c r="L832" s="273"/>
      <c r="M832" s="273"/>
      <c r="N832" s="273"/>
      <c r="O832" s="273"/>
    </row>
    <row r="833" spans="1:15" ht="15">
      <c r="A833" s="233"/>
      <c r="B833" s="291" t="s">
        <v>101</v>
      </c>
      <c r="C833" s="951">
        <f>CEILING(34*$Z$1,0.1)</f>
        <v>42.5</v>
      </c>
      <c r="D833" s="952"/>
      <c r="E833" s="951">
        <f>CEILING(40*$Z$1,0.1)</f>
        <v>50</v>
      </c>
      <c r="F833" s="952"/>
      <c r="G833" s="951">
        <f>CEILING(34*$Z$1,0.1)</f>
        <v>42.5</v>
      </c>
      <c r="H833" s="952"/>
      <c r="I833" s="290"/>
      <c r="J833" s="273"/>
      <c r="K833" s="273"/>
      <c r="L833" s="273"/>
      <c r="M833" s="273"/>
      <c r="N833" s="273"/>
      <c r="O833" s="273"/>
    </row>
    <row r="834" spans="1:15" ht="15">
      <c r="A834" s="230"/>
      <c r="B834" s="231" t="s">
        <v>186</v>
      </c>
      <c r="C834" s="947">
        <f>CEILING(87*$Z$1,0.1)</f>
        <v>108.80000000000001</v>
      </c>
      <c r="D834" s="957"/>
      <c r="E834" s="947">
        <f>CEILING(99*$Z$1,0.1)</f>
        <v>123.80000000000001</v>
      </c>
      <c r="F834" s="957"/>
      <c r="G834" s="947">
        <f>CEILING(87*$Z$1,0.1)</f>
        <v>108.80000000000001</v>
      </c>
      <c r="H834" s="957"/>
      <c r="I834" s="290"/>
      <c r="J834" s="273"/>
      <c r="K834" s="273"/>
      <c r="L834" s="273"/>
      <c r="M834" s="273"/>
      <c r="N834" s="273"/>
      <c r="O834" s="273"/>
    </row>
    <row r="835" spans="1:15" ht="16.5" customHeight="1" thickBot="1">
      <c r="A835" s="235" t="s">
        <v>393</v>
      </c>
      <c r="B835" s="165" t="s">
        <v>187</v>
      </c>
      <c r="C835" s="947">
        <f>CEILING(112*$Z$1,0.1)</f>
        <v>140</v>
      </c>
      <c r="D835" s="957"/>
      <c r="E835" s="947">
        <f>CEILING(124*$Z$1,0.1)</f>
        <v>155</v>
      </c>
      <c r="F835" s="957"/>
      <c r="G835" s="947">
        <f>CEILING(112*$Z$1,0.1)</f>
        <v>140</v>
      </c>
      <c r="H835" s="957"/>
      <c r="I835" s="290"/>
      <c r="J835" s="273"/>
      <c r="K835" s="273"/>
      <c r="L835" s="273"/>
      <c r="M835" s="273"/>
      <c r="N835" s="273"/>
      <c r="O835" s="273"/>
    </row>
    <row r="836" spans="1:15" ht="17.25" customHeight="1" thickTop="1">
      <c r="A836" s="1124" t="s">
        <v>394</v>
      </c>
      <c r="B836" s="1124"/>
      <c r="C836" s="1124"/>
      <c r="D836" s="1124"/>
      <c r="E836" s="672"/>
      <c r="F836" s="673"/>
      <c r="G836" s="673"/>
      <c r="H836" s="673"/>
      <c r="I836" s="289"/>
      <c r="J836" s="273"/>
      <c r="K836" s="273"/>
      <c r="L836" s="273"/>
      <c r="M836" s="273"/>
      <c r="N836" s="273"/>
      <c r="O836" s="273"/>
    </row>
    <row r="837" spans="1:15" ht="17.25" customHeight="1" thickBot="1">
      <c r="A837" s="671"/>
      <c r="B837" s="671"/>
      <c r="C837" s="671"/>
      <c r="D837" s="671"/>
      <c r="E837" s="153"/>
      <c r="F837" s="35"/>
      <c r="G837" s="35"/>
      <c r="H837" s="35"/>
      <c r="I837" s="289"/>
      <c r="J837" s="273"/>
      <c r="K837" s="273"/>
      <c r="L837" s="273"/>
      <c r="M837" s="273"/>
      <c r="N837" s="273"/>
      <c r="O837" s="273"/>
    </row>
    <row r="838" spans="1:15" ht="22.5" customHeight="1" thickTop="1">
      <c r="A838" s="697" t="s">
        <v>4</v>
      </c>
      <c r="B838" s="32"/>
      <c r="C838" s="945" t="s">
        <v>592</v>
      </c>
      <c r="D838" s="946"/>
      <c r="E838" s="945" t="s">
        <v>593</v>
      </c>
      <c r="F838" s="946"/>
      <c r="G838" s="945" t="s">
        <v>594</v>
      </c>
      <c r="H838" s="964"/>
      <c r="I838" s="290"/>
      <c r="J838" s="273"/>
      <c r="K838" s="273"/>
      <c r="L838" s="273"/>
      <c r="M838" s="273"/>
      <c r="N838" s="273"/>
      <c r="O838" s="273"/>
    </row>
    <row r="839" spans="1:15" ht="15">
      <c r="A839" s="303" t="s">
        <v>522</v>
      </c>
      <c r="B839" s="355" t="s">
        <v>13</v>
      </c>
      <c r="C839" s="951">
        <f>CEILING(115*$Z$1,0.1)</f>
        <v>143.8</v>
      </c>
      <c r="D839" s="954"/>
      <c r="E839" s="951">
        <f>CEILING(130*$Z$1,0.1)</f>
        <v>162.5</v>
      </c>
      <c r="F839" s="954"/>
      <c r="G839" s="951">
        <f>CEILING(115*$Z$1,0.1)</f>
        <v>143.8</v>
      </c>
      <c r="H839" s="954"/>
      <c r="I839" s="290"/>
      <c r="J839" s="273"/>
      <c r="K839" s="273"/>
      <c r="L839" s="273"/>
      <c r="M839" s="273"/>
      <c r="N839" s="273"/>
      <c r="O839" s="273"/>
    </row>
    <row r="840" spans="1:15" ht="15">
      <c r="A840" s="230" t="s">
        <v>6</v>
      </c>
      <c r="B840" s="344" t="s">
        <v>62</v>
      </c>
      <c r="C840" s="951">
        <f>CEILING((C839+60*$Z$1),0.1)</f>
        <v>218.8</v>
      </c>
      <c r="D840" s="952"/>
      <c r="E840" s="951">
        <f>CEILING((E839+60*$Z$1),0.1)</f>
        <v>237.5</v>
      </c>
      <c r="F840" s="952"/>
      <c r="G840" s="951">
        <f>CEILING((G839+60*$Z$1),0.1)</f>
        <v>218.8</v>
      </c>
      <c r="H840" s="952"/>
      <c r="I840" s="289"/>
      <c r="J840" s="273"/>
      <c r="K840" s="273"/>
      <c r="L840" s="273"/>
      <c r="M840" s="273"/>
      <c r="N840" s="273"/>
      <c r="O840" s="273"/>
    </row>
    <row r="841" spans="1:15" ht="15">
      <c r="A841" s="233"/>
      <c r="B841" s="454" t="s">
        <v>264</v>
      </c>
      <c r="C841" s="947">
        <f>CEILING(127*$Z$1,0.1)</f>
        <v>158.8</v>
      </c>
      <c r="D841" s="957"/>
      <c r="E841" s="947">
        <f>CEILING(142*$Z$1,0.1)</f>
        <v>177.5</v>
      </c>
      <c r="F841" s="957"/>
      <c r="G841" s="947">
        <f>CEILING(127*$Z$1,0.1)</f>
        <v>158.8</v>
      </c>
      <c r="H841" s="957"/>
      <c r="I841" s="289"/>
      <c r="J841" s="273"/>
      <c r="K841" s="273"/>
      <c r="L841" s="273"/>
      <c r="M841" s="273"/>
      <c r="N841" s="273"/>
      <c r="O841" s="273"/>
    </row>
    <row r="842" spans="1:15" ht="15">
      <c r="A842" s="233"/>
      <c r="B842" s="454" t="s">
        <v>265</v>
      </c>
      <c r="C842" s="951">
        <f>CEILING((C841+60*$Z$1),0.1)</f>
        <v>233.8</v>
      </c>
      <c r="D842" s="952"/>
      <c r="E842" s="951">
        <f>CEILING((E841+60*$Z$1),0.1)</f>
        <v>252.5</v>
      </c>
      <c r="F842" s="952"/>
      <c r="G842" s="951">
        <f>CEILING((G841+60*$Z$1),0.1)</f>
        <v>233.8</v>
      </c>
      <c r="H842" s="952"/>
      <c r="I842" s="289"/>
      <c r="J842" s="273"/>
      <c r="K842" s="273"/>
      <c r="L842" s="273"/>
      <c r="M842" s="273"/>
      <c r="N842" s="273"/>
      <c r="O842" s="273"/>
    </row>
    <row r="843" spans="1:15" ht="15">
      <c r="A843" s="233"/>
      <c r="B843" s="232" t="s">
        <v>188</v>
      </c>
      <c r="C843" s="947">
        <f>CEILING(235*$Z$1,0.1)</f>
        <v>293.8</v>
      </c>
      <c r="D843" s="957"/>
      <c r="E843" s="947">
        <f>CEILING(250*$Z$1,0.1)</f>
        <v>312.5</v>
      </c>
      <c r="F843" s="957"/>
      <c r="G843" s="947">
        <f>CEILING(235*$Z$1,0.1)</f>
        <v>293.8</v>
      </c>
      <c r="H843" s="957"/>
      <c r="I843" s="289"/>
      <c r="J843" s="273"/>
      <c r="K843" s="273"/>
      <c r="L843" s="273"/>
      <c r="M843" s="273"/>
      <c r="N843" s="273"/>
      <c r="O843" s="273"/>
    </row>
    <row r="844" spans="1:15" ht="15" thickBot="1">
      <c r="A844" s="686" t="s">
        <v>263</v>
      </c>
      <c r="B844" s="390" t="s">
        <v>189</v>
      </c>
      <c r="C844" s="967">
        <f>CEILING((C843+150*$Z$1),0.1)</f>
        <v>481.3</v>
      </c>
      <c r="D844" s="973"/>
      <c r="E844" s="967">
        <f>CEILING((E843+150*$Z$1),0.1)</f>
        <v>500</v>
      </c>
      <c r="F844" s="973"/>
      <c r="G844" s="967">
        <f>CEILING((G843+150*$Z$1),0.1)</f>
        <v>481.3</v>
      </c>
      <c r="H844" s="973"/>
      <c r="I844" s="289"/>
      <c r="J844" s="273"/>
      <c r="K844" s="273"/>
      <c r="L844" s="273"/>
      <c r="M844" s="273"/>
      <c r="N844" s="273"/>
      <c r="O844" s="273"/>
    </row>
    <row r="845" spans="1:15" ht="15" customHeight="1" thickTop="1">
      <c r="A845" s="1132" t="s">
        <v>533</v>
      </c>
      <c r="B845" s="1133"/>
      <c r="C845" s="1133"/>
      <c r="D845" s="1133"/>
      <c r="E845" s="1133"/>
      <c r="F845" s="1133"/>
      <c r="G845" s="1133"/>
      <c r="H845" s="1133"/>
      <c r="I845" s="1133"/>
      <c r="J845" s="1134"/>
      <c r="K845" s="273"/>
      <c r="L845" s="273"/>
      <c r="M845" s="273"/>
      <c r="N845" s="273"/>
      <c r="O845" s="273"/>
    </row>
    <row r="846" spans="1:15" ht="22.5" customHeight="1" thickBot="1">
      <c r="A846" s="153"/>
      <c r="B846" s="152"/>
      <c r="C846" s="153"/>
      <c r="D846" s="153"/>
      <c r="E846" s="153"/>
      <c r="F846" s="35"/>
      <c r="G846" s="35"/>
      <c r="H846" s="35"/>
      <c r="I846" s="289"/>
      <c r="J846" s="273"/>
      <c r="K846" s="273"/>
      <c r="L846" s="273"/>
      <c r="M846" s="273"/>
      <c r="N846" s="273"/>
      <c r="O846" s="273"/>
    </row>
    <row r="847" spans="1:15" ht="22.5" customHeight="1" thickTop="1">
      <c r="A847" s="697" t="s">
        <v>4</v>
      </c>
      <c r="B847" s="32"/>
      <c r="C847" s="945" t="s">
        <v>592</v>
      </c>
      <c r="D847" s="946"/>
      <c r="E847" s="945" t="s">
        <v>593</v>
      </c>
      <c r="F847" s="946"/>
      <c r="G847" s="945" t="s">
        <v>594</v>
      </c>
      <c r="H847" s="964"/>
      <c r="I847" s="290"/>
      <c r="J847" s="273"/>
      <c r="K847" s="273"/>
      <c r="L847" s="273"/>
      <c r="M847" s="273"/>
      <c r="N847" s="273"/>
      <c r="O847" s="273"/>
    </row>
    <row r="848" spans="1:15" ht="15">
      <c r="A848" s="345" t="s">
        <v>411</v>
      </c>
      <c r="B848" s="479" t="s">
        <v>11</v>
      </c>
      <c r="C848" s="987">
        <f>CEILING(43*$Z$1,0.1)</f>
        <v>53.800000000000004</v>
      </c>
      <c r="D848" s="1093"/>
      <c r="E848" s="987">
        <f>CEILING(49*$Z$1,0.1)</f>
        <v>61.300000000000004</v>
      </c>
      <c r="F848" s="1093"/>
      <c r="G848" s="987">
        <f>CEILING(44*$Z$1,0.1)</f>
        <v>55</v>
      </c>
      <c r="H848" s="1093"/>
      <c r="I848" s="290"/>
      <c r="J848" s="273"/>
      <c r="K848" s="273"/>
      <c r="L848" s="273"/>
      <c r="M848" s="273"/>
      <c r="N848" s="273"/>
      <c r="O848" s="273"/>
    </row>
    <row r="849" spans="1:15" ht="15">
      <c r="A849" s="270" t="s">
        <v>18</v>
      </c>
      <c r="B849" s="396" t="s">
        <v>7</v>
      </c>
      <c r="C849" s="955">
        <f>CEILING(68*$Z$1,0.1)</f>
        <v>85</v>
      </c>
      <c r="D849" s="956"/>
      <c r="E849" s="955">
        <f>CEILING(74*$Z$1,0.1)</f>
        <v>92.5</v>
      </c>
      <c r="F849" s="956"/>
      <c r="G849" s="955">
        <f>CEILING(69*$Z$1,0.1)</f>
        <v>86.30000000000001</v>
      </c>
      <c r="H849" s="956"/>
      <c r="I849" s="289"/>
      <c r="J849" s="273"/>
      <c r="K849" s="273"/>
      <c r="L849" s="273"/>
      <c r="M849" s="273"/>
      <c r="N849" s="273"/>
      <c r="O849" s="273"/>
    </row>
    <row r="850" spans="1:15" ht="15">
      <c r="A850" s="270"/>
      <c r="B850" s="347" t="s">
        <v>69</v>
      </c>
      <c r="C850" s="955">
        <f>CEILING(43*$Z$1,0.1)</f>
        <v>53.800000000000004</v>
      </c>
      <c r="D850" s="956"/>
      <c r="E850" s="955">
        <f>CEILING(45*$Z$1,0.1)</f>
        <v>56.300000000000004</v>
      </c>
      <c r="F850" s="956"/>
      <c r="G850" s="955">
        <f>CEILING(43*$Z$1,0.1)</f>
        <v>53.800000000000004</v>
      </c>
      <c r="H850" s="956"/>
      <c r="I850" s="289"/>
      <c r="J850" s="273"/>
      <c r="K850" s="273"/>
      <c r="L850" s="273"/>
      <c r="M850" s="273"/>
      <c r="N850" s="273"/>
      <c r="O850" s="273"/>
    </row>
    <row r="851" spans="1:15" ht="14.25">
      <c r="A851" s="515" t="s">
        <v>911</v>
      </c>
      <c r="B851" s="554" t="s">
        <v>595</v>
      </c>
      <c r="C851" s="955">
        <v>0</v>
      </c>
      <c r="D851" s="956"/>
      <c r="E851" s="955">
        <v>0</v>
      </c>
      <c r="F851" s="956"/>
      <c r="G851" s="955">
        <v>0</v>
      </c>
      <c r="H851" s="956"/>
      <c r="I851" s="289"/>
      <c r="J851" s="273"/>
      <c r="K851" s="273"/>
      <c r="L851" s="273"/>
      <c r="M851" s="273"/>
      <c r="N851" s="273"/>
      <c r="O851" s="273"/>
    </row>
    <row r="852" spans="1:15" ht="14.25">
      <c r="A852" s="515"/>
      <c r="B852" s="554" t="s">
        <v>596</v>
      </c>
      <c r="C852" s="955">
        <v>0</v>
      </c>
      <c r="D852" s="956"/>
      <c r="E852" s="955">
        <v>0</v>
      </c>
      <c r="F852" s="956"/>
      <c r="G852" s="955">
        <v>0</v>
      </c>
      <c r="H852" s="956"/>
      <c r="I852" s="289"/>
      <c r="J852" s="273"/>
      <c r="K852" s="273"/>
      <c r="L852" s="273"/>
      <c r="M852" s="273"/>
      <c r="N852" s="273"/>
      <c r="O852" s="273"/>
    </row>
    <row r="853" spans="1:15" ht="14.25">
      <c r="A853" s="259"/>
      <c r="B853" s="317" t="s">
        <v>260</v>
      </c>
      <c r="C853" s="947">
        <f>CEILING(67*$Z$1,0.1)</f>
        <v>83.80000000000001</v>
      </c>
      <c r="D853" s="957"/>
      <c r="E853" s="947">
        <f>CEILING(76*$Z$1,0.1)</f>
        <v>95</v>
      </c>
      <c r="F853" s="957"/>
      <c r="G853" s="947">
        <f>CEILING(67*$Z$1,0.1)</f>
        <v>83.80000000000001</v>
      </c>
      <c r="H853" s="957"/>
      <c r="I853" s="289"/>
      <c r="J853" s="273"/>
      <c r="K853" s="273"/>
      <c r="L853" s="273"/>
      <c r="M853" s="273"/>
      <c r="N853" s="273"/>
      <c r="O853" s="273"/>
    </row>
    <row r="854" spans="1:15" ht="15">
      <c r="A854" s="270"/>
      <c r="B854" s="317" t="s">
        <v>297</v>
      </c>
      <c r="C854" s="951">
        <f>CEILING((C853+20*$Z$1),0.1)</f>
        <v>108.80000000000001</v>
      </c>
      <c r="D854" s="952"/>
      <c r="E854" s="951">
        <f>CEILING((E853+20*$Z$1),0.1)</f>
        <v>120</v>
      </c>
      <c r="F854" s="952"/>
      <c r="G854" s="951">
        <f>CEILING((G853+20*$Z$1),0.1)</f>
        <v>108.80000000000001</v>
      </c>
      <c r="H854" s="952"/>
      <c r="I854" s="289"/>
      <c r="J854" s="273"/>
      <c r="K854" s="273"/>
      <c r="L854" s="273"/>
      <c r="M854" s="273"/>
      <c r="N854" s="273"/>
      <c r="O854" s="273"/>
    </row>
    <row r="855" spans="1:15" ht="15">
      <c r="A855" s="270"/>
      <c r="B855" s="317" t="s">
        <v>304</v>
      </c>
      <c r="C855" s="947">
        <f>CEILING(84*$Z$1,0.1)</f>
        <v>105</v>
      </c>
      <c r="D855" s="957"/>
      <c r="E855" s="947">
        <f>CEILING(93*$Z$1,0.1)</f>
        <v>116.30000000000001</v>
      </c>
      <c r="F855" s="957"/>
      <c r="G855" s="947">
        <f>CEILING(84*$Z$1,0.1)</f>
        <v>105</v>
      </c>
      <c r="H855" s="957"/>
      <c r="I855" s="289"/>
      <c r="J855" s="273"/>
      <c r="K855" s="273"/>
      <c r="L855" s="273"/>
      <c r="M855" s="273"/>
      <c r="N855" s="273"/>
      <c r="O855" s="273"/>
    </row>
    <row r="856" spans="1:15" ht="15">
      <c r="A856" s="270"/>
      <c r="B856" s="317" t="s">
        <v>305</v>
      </c>
      <c r="C856" s="951">
        <f>CEILING((C855+30*$Z$1),0.1)</f>
        <v>142.5</v>
      </c>
      <c r="D856" s="952"/>
      <c r="E856" s="951">
        <f>CEILING((E855+30*$Z$1),0.1)</f>
        <v>153.8</v>
      </c>
      <c r="F856" s="952"/>
      <c r="G856" s="951">
        <f>CEILING((G855+30*$Z$1),0.1)</f>
        <v>142.5</v>
      </c>
      <c r="H856" s="952"/>
      <c r="I856" s="289"/>
      <c r="J856" s="273"/>
      <c r="K856" s="273"/>
      <c r="L856" s="273"/>
      <c r="M856" s="273"/>
      <c r="N856" s="273"/>
      <c r="O856" s="273"/>
    </row>
    <row r="857" spans="1:15" ht="15">
      <c r="A857" s="270"/>
      <c r="B857" s="317" t="s">
        <v>413</v>
      </c>
      <c r="C857" s="947">
        <f>CEILING(89*$Z$1,0.1)</f>
        <v>111.30000000000001</v>
      </c>
      <c r="D857" s="957"/>
      <c r="E857" s="947">
        <f>CEILING(98*$Z$1,0.1)</f>
        <v>122.5</v>
      </c>
      <c r="F857" s="957"/>
      <c r="G857" s="947">
        <f>CEILING(89*$Z$1,0.1)</f>
        <v>111.30000000000001</v>
      </c>
      <c r="H857" s="957"/>
      <c r="I857" s="289"/>
      <c r="J857" s="273"/>
      <c r="K857" s="273"/>
      <c r="L857" s="273"/>
      <c r="M857" s="273"/>
      <c r="N857" s="273"/>
      <c r="O857" s="273"/>
    </row>
    <row r="858" spans="1:15" ht="15" thickBot="1">
      <c r="A858" s="199" t="s">
        <v>364</v>
      </c>
      <c r="B858" s="400" t="s">
        <v>412</v>
      </c>
      <c r="C858" s="967">
        <f>CEILING((C857+30*$Z$1),0.1)</f>
        <v>148.8</v>
      </c>
      <c r="D858" s="973"/>
      <c r="E858" s="967">
        <f>CEILING((E857+30*$Z$1),0.1)</f>
        <v>160</v>
      </c>
      <c r="F858" s="973"/>
      <c r="G858" s="967">
        <f>CEILING((G857+30*$Z$1),0.1)</f>
        <v>148.8</v>
      </c>
      <c r="H858" s="973"/>
      <c r="I858" s="289"/>
      <c r="J858" s="273"/>
      <c r="K858" s="273"/>
      <c r="L858" s="273"/>
      <c r="M858" s="273"/>
      <c r="N858" s="273"/>
      <c r="O858" s="273"/>
    </row>
    <row r="859" spans="1:15" ht="15" thickTop="1">
      <c r="A859" s="1083" t="s">
        <v>873</v>
      </c>
      <c r="B859" s="1083"/>
      <c r="C859" s="1083"/>
      <c r="D859" s="1083"/>
      <c r="E859" s="1083"/>
      <c r="F859" s="1083"/>
      <c r="G859" s="1083"/>
      <c r="H859" s="1083"/>
      <c r="I859" s="1083"/>
      <c r="J859" s="1083"/>
      <c r="K859" s="1083"/>
      <c r="L859" s="1083"/>
      <c r="M859" s="273"/>
      <c r="N859" s="273"/>
      <c r="O859" s="273"/>
    </row>
    <row r="860" spans="1:15" ht="15" thickBot="1">
      <c r="A860" s="482"/>
      <c r="B860" s="482"/>
      <c r="C860" s="482"/>
      <c r="D860" s="482"/>
      <c r="E860" s="482"/>
      <c r="F860" s="482"/>
      <c r="G860" s="482"/>
      <c r="H860" s="482"/>
      <c r="I860" s="665"/>
      <c r="J860" s="665"/>
      <c r="K860" s="665"/>
      <c r="L860" s="665"/>
      <c r="M860" s="273"/>
      <c r="N860" s="273"/>
      <c r="O860" s="273"/>
    </row>
    <row r="861" spans="1:15" ht="24" customHeight="1" thickTop="1">
      <c r="A861" s="5" t="s">
        <v>4</v>
      </c>
      <c r="B861" s="11"/>
      <c r="C861" s="945" t="s">
        <v>592</v>
      </c>
      <c r="D861" s="946"/>
      <c r="E861" s="945" t="s">
        <v>593</v>
      </c>
      <c r="F861" s="946"/>
      <c r="G861" s="945" t="s">
        <v>594</v>
      </c>
      <c r="H861" s="964"/>
      <c r="I861" s="272"/>
      <c r="J861" s="665"/>
      <c r="K861" s="665"/>
      <c r="L861" s="665"/>
      <c r="M861" s="273"/>
      <c r="N861" s="273"/>
      <c r="O861" s="273"/>
    </row>
    <row r="862" spans="1:15" ht="15">
      <c r="A862" s="196" t="s">
        <v>552</v>
      </c>
      <c r="B862" s="361" t="s">
        <v>11</v>
      </c>
      <c r="C862" s="981">
        <f>CEILING(50*$Z$1,0.1)</f>
        <v>62.5</v>
      </c>
      <c r="D862" s="982"/>
      <c r="E862" s="981">
        <f>CEILING(55*$Z$1,0.1)</f>
        <v>68.8</v>
      </c>
      <c r="F862" s="982"/>
      <c r="G862" s="981">
        <f>CEILING(50*$Z$1,0.1)</f>
        <v>62.5</v>
      </c>
      <c r="H862" s="982"/>
      <c r="I862" s="272"/>
      <c r="J862" s="665"/>
      <c r="K862" s="665"/>
      <c r="L862" s="665"/>
      <c r="M862" s="273"/>
      <c r="N862" s="273"/>
      <c r="O862" s="273"/>
    </row>
    <row r="863" spans="1:15" ht="15">
      <c r="A863" s="197"/>
      <c r="B863" s="234" t="s">
        <v>7</v>
      </c>
      <c r="C863" s="951">
        <f>CEILING(70*$Z$1,0.1)</f>
        <v>87.5</v>
      </c>
      <c r="D863" s="952"/>
      <c r="E863" s="951">
        <f>CEILING(75*$Z$1,0.1)</f>
        <v>93.80000000000001</v>
      </c>
      <c r="F863" s="952"/>
      <c r="G863" s="951">
        <f>CEILING(70*$Z$1,0.1)</f>
        <v>87.5</v>
      </c>
      <c r="H863" s="952"/>
      <c r="I863" s="272"/>
      <c r="J863" s="665"/>
      <c r="K863" s="665"/>
      <c r="L863" s="665"/>
      <c r="M863" s="273"/>
      <c r="N863" s="273"/>
      <c r="O863" s="273"/>
    </row>
    <row r="864" spans="1:15" ht="15">
      <c r="A864" s="197" t="s">
        <v>6</v>
      </c>
      <c r="B864" s="382" t="s">
        <v>9</v>
      </c>
      <c r="C864" s="951">
        <f>CEILING(42.5*$Z$1,0.1)</f>
        <v>53.2</v>
      </c>
      <c r="D864" s="952"/>
      <c r="E864" s="951">
        <f>CEILING(46.75*$Z$1,0.1)</f>
        <v>58.5</v>
      </c>
      <c r="F864" s="952"/>
      <c r="G864" s="951">
        <f>CEILING(42.5*$Z$1,0.1)</f>
        <v>53.2</v>
      </c>
      <c r="H864" s="952"/>
      <c r="I864" s="272"/>
      <c r="J864" s="665"/>
      <c r="K864" s="665"/>
      <c r="L864" s="665"/>
      <c r="M864" s="273"/>
      <c r="N864" s="273"/>
      <c r="O864" s="273"/>
    </row>
    <row r="865" spans="1:15" ht="15">
      <c r="A865" s="463"/>
      <c r="B865" s="292" t="s">
        <v>97</v>
      </c>
      <c r="C865" s="951">
        <v>0</v>
      </c>
      <c r="D865" s="952"/>
      <c r="E865" s="951">
        <v>0</v>
      </c>
      <c r="F865" s="952"/>
      <c r="G865" s="951">
        <v>0</v>
      </c>
      <c r="H865" s="952"/>
      <c r="I865" s="272"/>
      <c r="J865" s="665"/>
      <c r="K865" s="665"/>
      <c r="L865" s="665"/>
      <c r="M865" s="273"/>
      <c r="N865" s="273"/>
      <c r="O865" s="273"/>
    </row>
    <row r="866" spans="1:15" ht="14.25">
      <c r="A866" s="198"/>
      <c r="B866" s="422" t="s">
        <v>13</v>
      </c>
      <c r="C866" s="947">
        <f>CEILING(80*$Z$1,0.1)</f>
        <v>100</v>
      </c>
      <c r="D866" s="957"/>
      <c r="E866" s="947">
        <f>CEILING(85*$Z$1,0.1)</f>
        <v>106.30000000000001</v>
      </c>
      <c r="F866" s="957"/>
      <c r="G866" s="947">
        <f>CEILING(80*$Z$1,0.1)</f>
        <v>100</v>
      </c>
      <c r="H866" s="957"/>
      <c r="I866" s="272"/>
      <c r="J866" s="665"/>
      <c r="K866" s="665"/>
      <c r="L866" s="665"/>
      <c r="M866" s="273"/>
      <c r="N866" s="273"/>
      <c r="O866" s="273"/>
    </row>
    <row r="867" spans="1:15" ht="14.25">
      <c r="A867" s="571"/>
      <c r="B867" s="422" t="s">
        <v>62</v>
      </c>
      <c r="C867" s="951">
        <f>CEILING(100*$Z$1,0.1)</f>
        <v>125</v>
      </c>
      <c r="D867" s="952"/>
      <c r="E867" s="951">
        <f>CEILING(105*$Z$1,0.1)</f>
        <v>131.3</v>
      </c>
      <c r="F867" s="952"/>
      <c r="G867" s="951">
        <f>CEILING(100*$Z$1,0.1)</f>
        <v>125</v>
      </c>
      <c r="H867" s="952"/>
      <c r="I867" s="272"/>
      <c r="J867" s="665"/>
      <c r="K867" s="665"/>
      <c r="L867" s="665"/>
      <c r="M867" s="273"/>
      <c r="N867" s="273"/>
      <c r="O867" s="273"/>
    </row>
    <row r="868" spans="1:15" ht="14.25">
      <c r="A868" s="643"/>
      <c r="B868" s="422" t="s">
        <v>10</v>
      </c>
      <c r="C868" s="947">
        <f>CEILING(100*$Z$1,0.1)</f>
        <v>125</v>
      </c>
      <c r="D868" s="957"/>
      <c r="E868" s="947">
        <f>CEILING(105*$Z$1,0.1)</f>
        <v>131.3</v>
      </c>
      <c r="F868" s="957"/>
      <c r="G868" s="947">
        <f>CEILING(100*$Z$1,0.1)</f>
        <v>125</v>
      </c>
      <c r="H868" s="957"/>
      <c r="I868" s="272"/>
      <c r="J868" s="665"/>
      <c r="K868" s="665"/>
      <c r="L868" s="665"/>
      <c r="M868" s="273"/>
      <c r="N868" s="273"/>
      <c r="O868" s="273"/>
    </row>
    <row r="869" spans="1:15" ht="15" thickBot="1">
      <c r="A869" s="37" t="s">
        <v>551</v>
      </c>
      <c r="B869" s="424" t="s">
        <v>15</v>
      </c>
      <c r="C869" s="967">
        <f>CEILING(120*$Z$1,0.1)</f>
        <v>150</v>
      </c>
      <c r="D869" s="973"/>
      <c r="E869" s="967">
        <f>CEILING(125*$Z$1,0.1)</f>
        <v>156.3</v>
      </c>
      <c r="F869" s="973"/>
      <c r="G869" s="967">
        <f>CEILING(120*$Z$1,0.1)</f>
        <v>150</v>
      </c>
      <c r="H869" s="973"/>
      <c r="I869" s="272"/>
      <c r="J869" s="665"/>
      <c r="K869" s="665"/>
      <c r="L869" s="665"/>
      <c r="M869" s="273"/>
      <c r="N869" s="273"/>
      <c r="O869" s="273"/>
    </row>
    <row r="870" spans="1:15" ht="15" thickTop="1">
      <c r="A870" s="665" t="s">
        <v>866</v>
      </c>
      <c r="B870" s="665"/>
      <c r="C870" s="665"/>
      <c r="D870" s="665"/>
      <c r="E870" s="665"/>
      <c r="F870" s="665"/>
      <c r="G870" s="665"/>
      <c r="H870" s="665"/>
      <c r="I870" s="665"/>
      <c r="J870" s="665"/>
      <c r="K870" s="665"/>
      <c r="L870" s="665"/>
      <c r="M870" s="273"/>
      <c r="N870" s="273"/>
      <c r="O870" s="273"/>
    </row>
    <row r="871" spans="1:15" ht="14.25">
      <c r="A871" s="544" t="s">
        <v>867</v>
      </c>
      <c r="B871" s="893"/>
      <c r="C871" s="893"/>
      <c r="D871" s="893"/>
      <c r="E871" s="893"/>
      <c r="F871" s="893"/>
      <c r="G871" s="893"/>
      <c r="H871" s="893"/>
      <c r="I871" s="893"/>
      <c r="J871" s="893"/>
      <c r="K871" s="893"/>
      <c r="L871" s="893"/>
      <c r="M871" s="273"/>
      <c r="N871" s="273"/>
      <c r="O871" s="273"/>
    </row>
    <row r="872" spans="1:15" ht="15" thickBot="1">
      <c r="A872" s="562"/>
      <c r="B872" s="482"/>
      <c r="C872" s="482"/>
      <c r="D872" s="482"/>
      <c r="E872" s="482"/>
      <c r="F872" s="482"/>
      <c r="G872" s="482"/>
      <c r="H872" s="482"/>
      <c r="I872" s="893"/>
      <c r="J872" s="893"/>
      <c r="K872" s="893"/>
      <c r="L872" s="893"/>
      <c r="M872" s="273"/>
      <c r="N872" s="273"/>
      <c r="O872" s="273"/>
    </row>
    <row r="873" spans="1:15" ht="24" customHeight="1" thickTop="1">
      <c r="A873" s="897" t="s">
        <v>4</v>
      </c>
      <c r="B873" s="11"/>
      <c r="C873" s="945" t="s">
        <v>592</v>
      </c>
      <c r="D873" s="946"/>
      <c r="E873" s="945" t="s">
        <v>593</v>
      </c>
      <c r="F873" s="946"/>
      <c r="G873" s="945" t="s">
        <v>594</v>
      </c>
      <c r="H873" s="964"/>
      <c r="I873" s="669"/>
      <c r="J873" s="670"/>
      <c r="K873" s="273"/>
      <c r="L873" s="273"/>
      <c r="M873" s="273"/>
      <c r="N873" s="273"/>
      <c r="O873" s="273"/>
    </row>
    <row r="874" spans="1:15" ht="17.25" customHeight="1">
      <c r="A874" s="629" t="s">
        <v>870</v>
      </c>
      <c r="B874" s="355" t="s">
        <v>13</v>
      </c>
      <c r="C874" s="987">
        <f>CEILING(52*$Z$1,0.1)</f>
        <v>65</v>
      </c>
      <c r="D874" s="1093"/>
      <c r="E874" s="987">
        <f>CEILING(59*$Z$1,0.1)</f>
        <v>73.8</v>
      </c>
      <c r="F874" s="1093"/>
      <c r="G874" s="987">
        <f>CEILING(52*$Z$1,0.1)</f>
        <v>65</v>
      </c>
      <c r="H874" s="1093"/>
      <c r="I874" s="961"/>
      <c r="J874" s="962"/>
      <c r="K874" s="273"/>
      <c r="L874" s="273"/>
      <c r="M874" s="273"/>
      <c r="N874" s="273"/>
      <c r="O874" s="273"/>
    </row>
    <row r="875" spans="1:15" ht="17.25" customHeight="1">
      <c r="A875" s="628" t="s">
        <v>6</v>
      </c>
      <c r="B875" s="344" t="s">
        <v>62</v>
      </c>
      <c r="C875" s="955">
        <f>CEILING((C874+25*$Z$1),0.1)</f>
        <v>96.30000000000001</v>
      </c>
      <c r="D875" s="956"/>
      <c r="E875" s="955">
        <f>CEILING((E874+24*$Z$1),0.1)</f>
        <v>103.80000000000001</v>
      </c>
      <c r="F875" s="956"/>
      <c r="G875" s="955">
        <f>CEILING((G874+25*$Z$1),0.1)</f>
        <v>96.30000000000001</v>
      </c>
      <c r="H875" s="956"/>
      <c r="I875" s="961"/>
      <c r="J875" s="962"/>
      <c r="K875" s="273"/>
      <c r="L875" s="273"/>
      <c r="M875" s="273"/>
      <c r="N875" s="273"/>
      <c r="O875" s="273"/>
    </row>
    <row r="876" spans="1:15" ht="17.25" customHeight="1">
      <c r="A876" s="628"/>
      <c r="B876" s="635" t="s">
        <v>69</v>
      </c>
      <c r="C876" s="955">
        <f>CEILING(44*$Z$1,0.1)</f>
        <v>55</v>
      </c>
      <c r="D876" s="956"/>
      <c r="E876" s="955">
        <f>CEILING(49*$Z$1,0.1)</f>
        <v>61.300000000000004</v>
      </c>
      <c r="F876" s="956"/>
      <c r="G876" s="955">
        <f>CEILING(44*$Z$1,0.1)</f>
        <v>55</v>
      </c>
      <c r="H876" s="956"/>
      <c r="I876" s="961"/>
      <c r="J876" s="962"/>
      <c r="K876" s="273"/>
      <c r="L876" s="273"/>
      <c r="M876" s="273"/>
      <c r="N876" s="273"/>
      <c r="O876" s="273"/>
    </row>
    <row r="877" spans="1:15" ht="17.25" customHeight="1">
      <c r="A877" s="515" t="s">
        <v>911</v>
      </c>
      <c r="B877" s="641" t="s">
        <v>101</v>
      </c>
      <c r="C877" s="971">
        <v>0</v>
      </c>
      <c r="D877" s="972"/>
      <c r="E877" s="971">
        <v>0</v>
      </c>
      <c r="F877" s="972"/>
      <c r="G877" s="971">
        <v>0</v>
      </c>
      <c r="H877" s="972"/>
      <c r="I877" s="961"/>
      <c r="J877" s="962"/>
      <c r="K877" s="273"/>
      <c r="L877" s="273"/>
      <c r="M877" s="273"/>
      <c r="N877" s="273"/>
      <c r="O877" s="273"/>
    </row>
    <row r="878" spans="1:15" ht="17.25" customHeight="1">
      <c r="A878" s="628"/>
      <c r="B878" s="454" t="s">
        <v>914</v>
      </c>
      <c r="C878" s="971">
        <f>CEILING(70*$Z$1,0.1)</f>
        <v>87.5</v>
      </c>
      <c r="D878" s="972"/>
      <c r="E878" s="971">
        <f>CEILING(80*$Z$1,0.1)</f>
        <v>100</v>
      </c>
      <c r="F878" s="972"/>
      <c r="G878" s="971">
        <f>CEILING(70*$Z$1,0.1)</f>
        <v>87.5</v>
      </c>
      <c r="H878" s="972"/>
      <c r="I878" s="961"/>
      <c r="J878" s="962"/>
      <c r="K878" s="273"/>
      <c r="L878" s="273"/>
      <c r="M878" s="273"/>
      <c r="N878" s="273"/>
      <c r="O878" s="273"/>
    </row>
    <row r="879" spans="1:15" ht="17.25" customHeight="1" thickBot="1">
      <c r="A879" s="686" t="s">
        <v>263</v>
      </c>
      <c r="B879" s="326" t="s">
        <v>915</v>
      </c>
      <c r="C879" s="978">
        <f>CEILING((C878+29*$Z$1),0.1)</f>
        <v>123.80000000000001</v>
      </c>
      <c r="D879" s="1070"/>
      <c r="E879" s="978">
        <f>CEILING((E878+29*$Z$1),0.1)</f>
        <v>136.3</v>
      </c>
      <c r="F879" s="1070"/>
      <c r="G879" s="978">
        <f>CEILING((G878+29*$Z$1),0.1)</f>
        <v>123.80000000000001</v>
      </c>
      <c r="H879" s="1070"/>
      <c r="I879" s="961"/>
      <c r="J879" s="962"/>
      <c r="K879" s="273"/>
      <c r="L879" s="273"/>
      <c r="M879" s="273"/>
      <c r="N879" s="273"/>
      <c r="O879" s="273"/>
    </row>
    <row r="880" spans="1:15" ht="17.25" customHeight="1" thickTop="1">
      <c r="A880" s="963" t="s">
        <v>871</v>
      </c>
      <c r="B880" s="963"/>
      <c r="C880" s="963"/>
      <c r="D880" s="963"/>
      <c r="E880" s="963"/>
      <c r="F880" s="963"/>
      <c r="G880" s="963"/>
      <c r="H880" s="963"/>
      <c r="I880" s="963"/>
      <c r="J880" s="963"/>
      <c r="K880" s="273"/>
      <c r="L880" s="273"/>
      <c r="M880" s="273"/>
      <c r="N880" s="273"/>
      <c r="O880" s="273"/>
    </row>
    <row r="881" spans="1:15" ht="21" customHeight="1" thickBot="1">
      <c r="A881" s="153"/>
      <c r="B881" s="153"/>
      <c r="C881" s="153"/>
      <c r="D881" s="153"/>
      <c r="E881" s="153"/>
      <c r="F881" s="35"/>
      <c r="G881" s="35"/>
      <c r="H881" s="35"/>
      <c r="I881" s="289"/>
      <c r="J881" s="273"/>
      <c r="K881" s="273"/>
      <c r="L881" s="273"/>
      <c r="M881" s="273"/>
      <c r="N881" s="273"/>
      <c r="O881" s="273"/>
    </row>
    <row r="882" spans="1:15" ht="22.5" customHeight="1" thickTop="1">
      <c r="A882" s="697" t="s">
        <v>4</v>
      </c>
      <c r="B882" s="11"/>
      <c r="C882" s="945" t="s">
        <v>592</v>
      </c>
      <c r="D882" s="946"/>
      <c r="E882" s="945" t="s">
        <v>593</v>
      </c>
      <c r="F882" s="946"/>
      <c r="G882" s="945" t="s">
        <v>594</v>
      </c>
      <c r="H882" s="964"/>
      <c r="I882" s="288"/>
      <c r="J882" s="273"/>
      <c r="K882" s="273"/>
      <c r="L882" s="273"/>
      <c r="M882" s="273"/>
      <c r="N882" s="273"/>
      <c r="O882" s="273"/>
    </row>
    <row r="883" spans="1:15" ht="15.75" customHeight="1">
      <c r="A883" s="206" t="s">
        <v>872</v>
      </c>
      <c r="B883" s="355" t="s">
        <v>13</v>
      </c>
      <c r="C883" s="981">
        <f>CEILING(63*$Z$1,0.1)</f>
        <v>78.80000000000001</v>
      </c>
      <c r="D883" s="982"/>
      <c r="E883" s="981">
        <f>CEILING(72*$Z$1,0.1)</f>
        <v>90</v>
      </c>
      <c r="F883" s="982"/>
      <c r="G883" s="981">
        <f>CEILING(63*$Z$1,0.1)</f>
        <v>78.80000000000001</v>
      </c>
      <c r="H883" s="982"/>
      <c r="I883" s="46"/>
      <c r="J883" s="273"/>
      <c r="K883" s="273"/>
      <c r="L883" s="273"/>
      <c r="M883" s="273"/>
      <c r="N883" s="273"/>
      <c r="O883" s="273"/>
    </row>
    <row r="884" spans="1:15" ht="14.25" customHeight="1">
      <c r="A884" s="163" t="s">
        <v>6</v>
      </c>
      <c r="B884" s="344" t="s">
        <v>62</v>
      </c>
      <c r="C884" s="951">
        <f>CEILING((C883+25*$Z$1),0.1)</f>
        <v>110.10000000000001</v>
      </c>
      <c r="D884" s="952"/>
      <c r="E884" s="951">
        <f>CEILING((E883+25*$Z$1),0.1)</f>
        <v>121.30000000000001</v>
      </c>
      <c r="F884" s="952"/>
      <c r="G884" s="951">
        <f>CEILING((G883+25*$Z$1),0.1)</f>
        <v>110.10000000000001</v>
      </c>
      <c r="H884" s="952"/>
      <c r="I884" s="46"/>
      <c r="J884" s="273"/>
      <c r="K884" s="273"/>
      <c r="L884" s="273"/>
      <c r="M884" s="273"/>
      <c r="N884" s="273"/>
      <c r="O884" s="273"/>
    </row>
    <row r="885" spans="1:15" ht="15">
      <c r="A885" s="163"/>
      <c r="B885" s="337" t="s">
        <v>69</v>
      </c>
      <c r="C885" s="951">
        <f>CEILING((C883*0.85),0.1)</f>
        <v>67</v>
      </c>
      <c r="D885" s="952"/>
      <c r="E885" s="951">
        <f>CEILING((E883*0.85),0.1)</f>
        <v>76.5</v>
      </c>
      <c r="F885" s="952"/>
      <c r="G885" s="951">
        <f>CEILING((G883*0.85),0.1)</f>
        <v>67</v>
      </c>
      <c r="H885" s="952"/>
      <c r="I885" s="46"/>
      <c r="J885" s="273"/>
      <c r="K885" s="273"/>
      <c r="L885" s="273"/>
      <c r="M885" s="273"/>
      <c r="N885" s="273"/>
      <c r="O885" s="273"/>
    </row>
    <row r="886" spans="1:15" ht="14.25">
      <c r="A886" s="571"/>
      <c r="B886" s="340" t="s">
        <v>101</v>
      </c>
      <c r="C886" s="947">
        <v>0</v>
      </c>
      <c r="D886" s="957"/>
      <c r="E886" s="947">
        <v>0</v>
      </c>
      <c r="F886" s="957"/>
      <c r="G886" s="947">
        <v>0</v>
      </c>
      <c r="H886" s="957"/>
      <c r="I886" s="78"/>
      <c r="J886" s="273"/>
      <c r="K886" s="273"/>
      <c r="L886" s="273"/>
      <c r="M886" s="273"/>
      <c r="N886" s="273"/>
      <c r="O886" s="273"/>
    </row>
    <row r="887" spans="1:15" ht="15">
      <c r="A887" s="163"/>
      <c r="B887" s="340" t="s">
        <v>264</v>
      </c>
      <c r="C887" s="947">
        <f>CEILING(71*$Z$1,0.1)</f>
        <v>88.80000000000001</v>
      </c>
      <c r="D887" s="957"/>
      <c r="E887" s="947">
        <f>CEILING(80*$Z$1,0.1)</f>
        <v>100</v>
      </c>
      <c r="F887" s="957"/>
      <c r="G887" s="947">
        <f>CEILING(71*$Z$1,0.1)</f>
        <v>88.80000000000001</v>
      </c>
      <c r="H887" s="957"/>
      <c r="I887" s="50"/>
      <c r="J887" s="273"/>
      <c r="K887" s="273"/>
      <c r="L887" s="273"/>
      <c r="M887" s="273"/>
      <c r="N887" s="273"/>
      <c r="O887" s="273"/>
    </row>
    <row r="888" spans="1:15" ht="15">
      <c r="A888" s="163"/>
      <c r="B888" s="340" t="s">
        <v>265</v>
      </c>
      <c r="C888" s="951">
        <f>CEILING((C887+25*$Z$1),0.1)</f>
        <v>120.10000000000001</v>
      </c>
      <c r="D888" s="952"/>
      <c r="E888" s="951">
        <f>CEILING((E887+25*$Z$1),0.1)</f>
        <v>131.3</v>
      </c>
      <c r="F888" s="952"/>
      <c r="G888" s="951">
        <f>CEILING((G887+25*$Z$1),0.1)</f>
        <v>120.10000000000001</v>
      </c>
      <c r="H888" s="952"/>
      <c r="I888" s="50"/>
      <c r="J888" s="273"/>
      <c r="K888" s="273"/>
      <c r="L888" s="273"/>
      <c r="M888" s="273"/>
      <c r="N888" s="273"/>
      <c r="O888" s="273"/>
    </row>
    <row r="889" spans="1:15" ht="14.25" customHeight="1">
      <c r="A889" s="163"/>
      <c r="B889" s="340" t="s">
        <v>10</v>
      </c>
      <c r="C889" s="947">
        <f>CEILING(98*$Z$1,0.1)</f>
        <v>122.5</v>
      </c>
      <c r="D889" s="957"/>
      <c r="E889" s="947">
        <f>CEILING(107*$Z$1,0.1)</f>
        <v>133.8</v>
      </c>
      <c r="F889" s="957"/>
      <c r="G889" s="947">
        <f>CEILING(98*$Z$1,0.1)</f>
        <v>122.5</v>
      </c>
      <c r="H889" s="957"/>
      <c r="I889" s="50"/>
      <c r="J889" s="273"/>
      <c r="K889" s="273"/>
      <c r="L889" s="273"/>
      <c r="M889" s="273"/>
      <c r="N889" s="273"/>
      <c r="O889" s="273"/>
    </row>
    <row r="890" spans="1:15" ht="15" thickBot="1">
      <c r="A890" s="199" t="s">
        <v>269</v>
      </c>
      <c r="B890" s="358" t="s">
        <v>15</v>
      </c>
      <c r="C890" s="967">
        <f>CEILING((C889+30*$Z$1),0.1)</f>
        <v>160</v>
      </c>
      <c r="D890" s="973"/>
      <c r="E890" s="967">
        <f>CEILING((E889+30*$Z$1),0.1)</f>
        <v>171.3</v>
      </c>
      <c r="F890" s="973"/>
      <c r="G890" s="967">
        <f>CEILING((G889+30*$Z$1),0.1)</f>
        <v>160</v>
      </c>
      <c r="H890" s="973"/>
      <c r="I890" s="1"/>
      <c r="J890" s="273"/>
      <c r="K890" s="273"/>
      <c r="L890" s="273"/>
      <c r="M890" s="273"/>
      <c r="N890" s="273"/>
      <c r="O890" s="273"/>
    </row>
    <row r="891" spans="1:15" ht="15" thickTop="1">
      <c r="A891" s="1083" t="s">
        <v>873</v>
      </c>
      <c r="B891" s="1083"/>
      <c r="C891" s="1083"/>
      <c r="D891" s="1083"/>
      <c r="E891" s="1083"/>
      <c r="F891" s="1083"/>
      <c r="G891" s="1083"/>
      <c r="H891" s="1083"/>
      <c r="I891" s="1083"/>
      <c r="J891" s="1083"/>
      <c r="K891" s="1083"/>
      <c r="L891" s="1083"/>
      <c r="M891" s="273"/>
      <c r="N891" s="273"/>
      <c r="O891" s="273"/>
    </row>
    <row r="892" spans="1:15" ht="16.5" customHeight="1" thickBot="1">
      <c r="A892" s="482"/>
      <c r="B892" s="482"/>
      <c r="C892" s="482"/>
      <c r="D892" s="482"/>
      <c r="E892" s="482"/>
      <c r="F892" s="482"/>
      <c r="G892" s="482"/>
      <c r="H892" s="482"/>
      <c r="I892" s="455"/>
      <c r="J892" s="455"/>
      <c r="K892" s="455"/>
      <c r="L892" s="455"/>
      <c r="M892" s="273"/>
      <c r="N892" s="273"/>
      <c r="O892" s="273"/>
    </row>
    <row r="893" spans="1:15" ht="21.75" customHeight="1" thickTop="1">
      <c r="A893" s="697" t="s">
        <v>4</v>
      </c>
      <c r="B893" s="11"/>
      <c r="C893" s="945" t="s">
        <v>592</v>
      </c>
      <c r="D893" s="946"/>
      <c r="E893" s="945" t="s">
        <v>593</v>
      </c>
      <c r="F893" s="946"/>
      <c r="G893" s="945" t="s">
        <v>594</v>
      </c>
      <c r="H893" s="964"/>
      <c r="I893" s="272"/>
      <c r="J893" s="455"/>
      <c r="K893" s="455"/>
      <c r="L893" s="455"/>
      <c r="M893" s="273"/>
      <c r="N893" s="273"/>
      <c r="O893" s="273"/>
    </row>
    <row r="894" spans="1:15" ht="15">
      <c r="A894" s="196" t="s">
        <v>415</v>
      </c>
      <c r="B894" s="361" t="s">
        <v>169</v>
      </c>
      <c r="C894" s="951">
        <f>CEILING(67*$Z$1,0.1)</f>
        <v>83.80000000000001</v>
      </c>
      <c r="D894" s="954"/>
      <c r="E894" s="951">
        <f>CEILING(81*$Z$1,0.1)</f>
        <v>101.30000000000001</v>
      </c>
      <c r="F894" s="954"/>
      <c r="G894" s="951">
        <f>CEILING(67*$Z$1,0.1)</f>
        <v>83.80000000000001</v>
      </c>
      <c r="H894" s="954"/>
      <c r="I894" s="272"/>
      <c r="J894" s="455"/>
      <c r="K894" s="455"/>
      <c r="L894" s="455"/>
      <c r="M894" s="273"/>
      <c r="N894" s="273"/>
      <c r="O894" s="273"/>
    </row>
    <row r="895" spans="1:15" ht="15">
      <c r="A895" s="197" t="s">
        <v>6</v>
      </c>
      <c r="B895" s="234" t="s">
        <v>170</v>
      </c>
      <c r="C895" s="951">
        <f>CEILING((C894+40*$Z$1),0.1)</f>
        <v>133.8</v>
      </c>
      <c r="D895" s="952"/>
      <c r="E895" s="951">
        <f>CEILING((E894+40*$Z$1),0.1)</f>
        <v>151.3</v>
      </c>
      <c r="F895" s="952"/>
      <c r="G895" s="951">
        <f>CEILING((G894+40*$Z$1),0.1)</f>
        <v>133.8</v>
      </c>
      <c r="H895" s="952"/>
      <c r="I895" s="272"/>
      <c r="J895" s="455"/>
      <c r="K895" s="455"/>
      <c r="L895" s="455"/>
      <c r="M895" s="273"/>
      <c r="N895" s="273"/>
      <c r="O895" s="273"/>
    </row>
    <row r="896" spans="1:15" ht="14.25" customHeight="1">
      <c r="A896" s="198"/>
      <c r="B896" s="382" t="s">
        <v>9</v>
      </c>
      <c r="C896" s="951">
        <f>CEILING((C894*0.85),0.1)</f>
        <v>71.3</v>
      </c>
      <c r="D896" s="952"/>
      <c r="E896" s="951">
        <f>CEILING((E894*0.85),0.1)</f>
        <v>86.2</v>
      </c>
      <c r="F896" s="952"/>
      <c r="G896" s="951">
        <f>CEILING((G894*0.85),0.1)</f>
        <v>71.3</v>
      </c>
      <c r="H896" s="952"/>
      <c r="I896" s="272"/>
      <c r="J896" s="455"/>
      <c r="K896" s="455"/>
      <c r="L896" s="455"/>
      <c r="M896" s="273"/>
      <c r="N896" s="273"/>
      <c r="O896" s="273"/>
    </row>
    <row r="897" spans="1:15" ht="15" thickBot="1">
      <c r="A897" s="235" t="s">
        <v>869</v>
      </c>
      <c r="B897" s="625" t="s">
        <v>182</v>
      </c>
      <c r="C897" s="967">
        <f>CEILING((C894*0.5),0.1)</f>
        <v>41.900000000000006</v>
      </c>
      <c r="D897" s="973"/>
      <c r="E897" s="967">
        <f>CEILING((E894*0.5),0.1)</f>
        <v>50.7</v>
      </c>
      <c r="F897" s="973"/>
      <c r="G897" s="967">
        <f>CEILING((G894*0.5),0.1)</f>
        <v>41.900000000000006</v>
      </c>
      <c r="H897" s="973"/>
      <c r="I897" s="272"/>
      <c r="J897" s="455"/>
      <c r="K897" s="455"/>
      <c r="L897" s="455"/>
      <c r="M897" s="273"/>
      <c r="N897" s="273"/>
      <c r="O897" s="273"/>
    </row>
    <row r="898" spans="1:25" ht="15" thickTop="1">
      <c r="A898" s="464" t="s">
        <v>868</v>
      </c>
      <c r="B898" s="702"/>
      <c r="C898" s="702"/>
      <c r="D898" s="702"/>
      <c r="E898" s="702"/>
      <c r="F898" s="455"/>
      <c r="G898" s="455"/>
      <c r="H898" s="455"/>
      <c r="I898" s="455"/>
      <c r="J898" s="455"/>
      <c r="K898" s="455"/>
      <c r="L898" s="455"/>
      <c r="M898" s="273"/>
      <c r="N898" s="273"/>
      <c r="O898" s="273"/>
      <c r="P898" s="273"/>
      <c r="Q898" s="136"/>
      <c r="R898" s="136"/>
      <c r="S898" s="136"/>
      <c r="T898" s="136"/>
      <c r="U898" s="136"/>
      <c r="V898" s="136"/>
      <c r="W898" s="136"/>
      <c r="X898" s="136"/>
      <c r="Y898" s="136"/>
    </row>
    <row r="899" spans="1:25" ht="20.25" customHeight="1">
      <c r="A899" s="293"/>
      <c r="B899" s="293"/>
      <c r="C899" s="293"/>
      <c r="D899" s="293"/>
      <c r="E899" s="293"/>
      <c r="F899" s="293"/>
      <c r="G899" s="293"/>
      <c r="H899" s="293"/>
      <c r="I899" s="293"/>
      <c r="J899" s="293"/>
      <c r="K899" s="293"/>
      <c r="L899" s="293"/>
      <c r="M899" s="273"/>
      <c r="N899" s="273"/>
      <c r="O899" s="273"/>
      <c r="P899" s="273"/>
      <c r="Q899" s="136"/>
      <c r="R899" s="136"/>
      <c r="S899" s="136"/>
      <c r="T899" s="136"/>
      <c r="U899" s="136"/>
      <c r="V899" s="136"/>
      <c r="W899" s="136"/>
      <c r="X899" s="136"/>
      <c r="Y899" s="136"/>
    </row>
    <row r="900" spans="1:25" ht="16.5" customHeight="1">
      <c r="A900" s="1045" t="s">
        <v>893</v>
      </c>
      <c r="B900" s="1045"/>
      <c r="C900" s="1045"/>
      <c r="D900" s="1045"/>
      <c r="E900" s="1045"/>
      <c r="F900" s="1045"/>
      <c r="G900" s="1045"/>
      <c r="H900" s="1045"/>
      <c r="I900" s="1012"/>
      <c r="J900" s="1012"/>
      <c r="K900" s="1012"/>
      <c r="L900" s="581"/>
      <c r="M900" s="587"/>
      <c r="N900" s="584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  <c r="Y900" s="136"/>
    </row>
    <row r="901" spans="1:25" ht="15.75" customHeight="1">
      <c r="A901" s="1011" t="s">
        <v>484</v>
      </c>
      <c r="B901" s="1011"/>
      <c r="C901" s="1011"/>
      <c r="D901" s="1011"/>
      <c r="E901" s="1011"/>
      <c r="F901" s="1011"/>
      <c r="G901" s="1011"/>
      <c r="H901" s="1011"/>
      <c r="I901" s="1012"/>
      <c r="J901" s="1012"/>
      <c r="K901" s="1012"/>
      <c r="L901" s="581"/>
      <c r="M901" s="587"/>
      <c r="N901" s="584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  <c r="Y901" s="136"/>
    </row>
    <row r="902" spans="1:25" ht="16.5" customHeight="1">
      <c r="A902" s="1011" t="s">
        <v>485</v>
      </c>
      <c r="B902" s="1011"/>
      <c r="C902" s="1011"/>
      <c r="D902" s="1011"/>
      <c r="E902" s="1011"/>
      <c r="F902" s="1011"/>
      <c r="G902" s="1011"/>
      <c r="H902" s="1011"/>
      <c r="I902" s="1012"/>
      <c r="J902" s="1012"/>
      <c r="K902" s="1012"/>
      <c r="L902" s="581"/>
      <c r="M902" s="587"/>
      <c r="N902" s="584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  <c r="Y902" s="136"/>
    </row>
    <row r="903" spans="1:25" ht="16.5" customHeight="1">
      <c r="A903" s="1011" t="s">
        <v>486</v>
      </c>
      <c r="B903" s="1011"/>
      <c r="C903" s="1011"/>
      <c r="D903" s="1011"/>
      <c r="E903" s="1011"/>
      <c r="F903" s="1011"/>
      <c r="G903" s="1011"/>
      <c r="H903" s="1011"/>
      <c r="I903" s="1012"/>
      <c r="J903" s="1012"/>
      <c r="K903" s="1012"/>
      <c r="L903" s="581"/>
      <c r="M903" s="587"/>
      <c r="N903" s="584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  <c r="Y903" s="136"/>
    </row>
    <row r="904" spans="1:25" ht="16.5" customHeight="1">
      <c r="A904" s="1011" t="s">
        <v>769</v>
      </c>
      <c r="B904" s="1011"/>
      <c r="C904" s="1011"/>
      <c r="D904" s="1011"/>
      <c r="E904" s="1011"/>
      <c r="F904" s="1011"/>
      <c r="G904" s="1011"/>
      <c r="H904" s="1011"/>
      <c r="I904" s="1012"/>
      <c r="J904" s="1012"/>
      <c r="K904" s="1012"/>
      <c r="L904" s="581"/>
      <c r="M904" s="587"/>
      <c r="N904" s="584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  <c r="Y904" s="136"/>
    </row>
    <row r="905" spans="1:25" ht="17.25" customHeight="1">
      <c r="A905" s="1011" t="s">
        <v>770</v>
      </c>
      <c r="B905" s="1011"/>
      <c r="C905" s="1011"/>
      <c r="D905" s="1011"/>
      <c r="E905" s="1011"/>
      <c r="F905" s="1011"/>
      <c r="G905" s="1011"/>
      <c r="H905" s="1011"/>
      <c r="I905" s="1012"/>
      <c r="J905" s="1012"/>
      <c r="K905" s="1012"/>
      <c r="L905" s="581"/>
      <c r="M905" s="587"/>
      <c r="N905" s="584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  <c r="Y905" s="136"/>
    </row>
    <row r="906" spans="1:15" ht="14.25">
      <c r="A906" s="7"/>
      <c r="B906" s="7"/>
      <c r="C906" s="7"/>
      <c r="D906" s="7"/>
      <c r="E906" s="7"/>
      <c r="F906" s="7"/>
      <c r="G906" s="7"/>
      <c r="H906" s="1"/>
      <c r="I906" s="1"/>
      <c r="J906" s="273"/>
      <c r="K906" s="273"/>
      <c r="L906" s="273"/>
      <c r="M906" s="273"/>
      <c r="N906" s="273"/>
      <c r="O906" s="273"/>
    </row>
    <row r="907" spans="1:15" ht="27" customHeight="1">
      <c r="A907" s="1178" t="s">
        <v>397</v>
      </c>
      <c r="B907" s="1178"/>
      <c r="C907" s="1178"/>
      <c r="D907" s="1178"/>
      <c r="E907" s="1178"/>
      <c r="F907" s="1178"/>
      <c r="G907" s="1178"/>
      <c r="H907" s="1178"/>
      <c r="I907" s="102"/>
      <c r="J907" s="273"/>
      <c r="K907" s="273"/>
      <c r="L907" s="273"/>
      <c r="M907" s="273"/>
      <c r="N907" s="273"/>
      <c r="O907" s="273"/>
    </row>
    <row r="908" spans="1:15" ht="14.25" customHeight="1" thickBot="1">
      <c r="A908" s="10"/>
      <c r="B908" s="10"/>
      <c r="C908" s="10"/>
      <c r="D908" s="10"/>
      <c r="E908" s="10"/>
      <c r="F908" s="10"/>
      <c r="G908" s="10"/>
      <c r="H908" s="10"/>
      <c r="I908" s="102"/>
      <c r="J908" s="273"/>
      <c r="K908" s="273"/>
      <c r="L908" s="273"/>
      <c r="M908" s="273"/>
      <c r="N908" s="273"/>
      <c r="O908" s="273"/>
    </row>
    <row r="909" spans="1:15" ht="28.5" customHeight="1" thickTop="1">
      <c r="A909" s="697" t="s">
        <v>4</v>
      </c>
      <c r="B909" s="32"/>
      <c r="C909" s="945" t="s">
        <v>592</v>
      </c>
      <c r="D909" s="946"/>
      <c r="E909" s="945" t="s">
        <v>593</v>
      </c>
      <c r="F909" s="946"/>
      <c r="G909" s="945" t="s">
        <v>594</v>
      </c>
      <c r="H909" s="964"/>
      <c r="I909" s="288"/>
      <c r="J909" s="273"/>
      <c r="K909" s="273"/>
      <c r="L909" s="273"/>
      <c r="M909" s="273"/>
      <c r="N909" s="273"/>
      <c r="O909" s="273"/>
    </row>
    <row r="910" spans="1:15" ht="15">
      <c r="A910" s="91" t="s">
        <v>27</v>
      </c>
      <c r="B910" s="521" t="s">
        <v>285</v>
      </c>
      <c r="C910" s="951">
        <f>CEILING(80*$Z$1,0.1)</f>
        <v>100</v>
      </c>
      <c r="D910" s="954"/>
      <c r="E910" s="951">
        <f>CEILING(90*$Z$1,0.1)</f>
        <v>112.5</v>
      </c>
      <c r="F910" s="954"/>
      <c r="G910" s="951">
        <f>CEILING(80*$Z$1,0.1)</f>
        <v>100</v>
      </c>
      <c r="H910" s="954"/>
      <c r="I910" s="6"/>
      <c r="J910" s="273"/>
      <c r="K910" s="273"/>
      <c r="L910" s="273"/>
      <c r="M910" s="273"/>
      <c r="N910" s="273"/>
      <c r="O910" s="273"/>
    </row>
    <row r="911" spans="1:15" ht="15">
      <c r="A911" s="15" t="s">
        <v>6</v>
      </c>
      <c r="B911" s="575" t="s">
        <v>286</v>
      </c>
      <c r="C911" s="951">
        <f>CEILING((C910+40*$Z$1),0.1)</f>
        <v>150</v>
      </c>
      <c r="D911" s="952"/>
      <c r="E911" s="951">
        <f>CEILING((E910+40*$Z$1),0.1)</f>
        <v>162.5</v>
      </c>
      <c r="F911" s="952"/>
      <c r="G911" s="951">
        <f>CEILING((G910+40*$Z$1),0.1)</f>
        <v>150</v>
      </c>
      <c r="H911" s="952"/>
      <c r="I911" s="6"/>
      <c r="J911" s="273"/>
      <c r="K911" s="273"/>
      <c r="L911" s="273"/>
      <c r="M911" s="273"/>
      <c r="N911" s="273"/>
      <c r="O911" s="273"/>
    </row>
    <row r="912" spans="1:15" ht="15" customHeight="1">
      <c r="A912" s="21"/>
      <c r="B912" s="521" t="s">
        <v>69</v>
      </c>
      <c r="C912" s="951">
        <f>CEILING((C910*0.85),0.1)</f>
        <v>85</v>
      </c>
      <c r="D912" s="952"/>
      <c r="E912" s="951">
        <f>CEILING((E910*0.85),0.1)</f>
        <v>95.7</v>
      </c>
      <c r="F912" s="952"/>
      <c r="G912" s="951">
        <f>CEILING((G910*0.85),0.1)</f>
        <v>85</v>
      </c>
      <c r="H912" s="952"/>
      <c r="I912" s="6"/>
      <c r="J912" s="273"/>
      <c r="K912" s="273"/>
      <c r="L912" s="273"/>
      <c r="M912" s="273"/>
      <c r="N912" s="273"/>
      <c r="O912" s="273"/>
    </row>
    <row r="913" spans="1:15" ht="15.75" customHeight="1">
      <c r="A913" s="21"/>
      <c r="B913" s="689" t="s">
        <v>541</v>
      </c>
      <c r="C913" s="947">
        <f>CEILING(105*$Z$1,0.1)</f>
        <v>131.3</v>
      </c>
      <c r="D913" s="957"/>
      <c r="E913" s="947">
        <f>CEILING(115*$Z$1,0.1)</f>
        <v>143.8</v>
      </c>
      <c r="F913" s="957"/>
      <c r="G913" s="947">
        <f>CEILING(105*$Z$1,0.1)</f>
        <v>131.3</v>
      </c>
      <c r="H913" s="957"/>
      <c r="I913" s="1"/>
      <c r="J913" s="273"/>
      <c r="K913" s="273"/>
      <c r="L913" s="273"/>
      <c r="M913" s="273"/>
      <c r="N913" s="273"/>
      <c r="O913" s="273"/>
    </row>
    <row r="914" spans="1:15" ht="16.5" customHeight="1">
      <c r="A914" s="21"/>
      <c r="B914" s="689" t="s">
        <v>542</v>
      </c>
      <c r="C914" s="947">
        <f>CEILING((C913+50*$Z$1),0.1)</f>
        <v>193.8</v>
      </c>
      <c r="D914" s="957"/>
      <c r="E914" s="947">
        <f>CEILING((E913+50*$Z$1),0.1)</f>
        <v>206.3</v>
      </c>
      <c r="F914" s="957"/>
      <c r="G914" s="947">
        <f>CEILING((G913+50*$Z$1),0.1)</f>
        <v>193.8</v>
      </c>
      <c r="H914" s="957"/>
      <c r="I914" s="1"/>
      <c r="J914" s="273"/>
      <c r="K914" s="273"/>
      <c r="L914" s="273"/>
      <c r="M914" s="273"/>
      <c r="N914" s="273"/>
      <c r="O914" s="273"/>
    </row>
    <row r="915" spans="1:15" ht="16.5" customHeight="1">
      <c r="A915" s="21"/>
      <c r="B915" s="689" t="s">
        <v>13</v>
      </c>
      <c r="C915" s="947">
        <f>CEILING(110*$Z$1,0.1)</f>
        <v>137.5</v>
      </c>
      <c r="D915" s="957"/>
      <c r="E915" s="947">
        <f>CEILING(120*$Z$1,0.1)</f>
        <v>150</v>
      </c>
      <c r="F915" s="957"/>
      <c r="G915" s="947">
        <f>CEILING(110*$Z$1,0.1)</f>
        <v>137.5</v>
      </c>
      <c r="H915" s="957"/>
      <c r="I915" s="1"/>
      <c r="J915" s="273"/>
      <c r="K915" s="273"/>
      <c r="L915" s="273"/>
      <c r="M915" s="273"/>
      <c r="N915" s="273"/>
      <c r="O915" s="273"/>
    </row>
    <row r="916" spans="1:15" ht="16.5" customHeight="1">
      <c r="A916" s="21"/>
      <c r="B916" s="689" t="s">
        <v>62</v>
      </c>
      <c r="C916" s="947">
        <f>CEILING((C915+60*$Z$1),0.1)</f>
        <v>212.5</v>
      </c>
      <c r="D916" s="957"/>
      <c r="E916" s="947">
        <f>CEILING((E915+60*$Z$1),0.1)</f>
        <v>225</v>
      </c>
      <c r="F916" s="957"/>
      <c r="G916" s="947">
        <f>CEILING((G915+60*$Z$1),0.1)</f>
        <v>212.5</v>
      </c>
      <c r="H916" s="957"/>
      <c r="I916" s="1"/>
      <c r="J916" s="273"/>
      <c r="K916" s="273"/>
      <c r="L916" s="273"/>
      <c r="M916" s="273"/>
      <c r="N916" s="273"/>
      <c r="O916" s="273"/>
    </row>
    <row r="917" spans="1:15" ht="15">
      <c r="A917" s="21"/>
      <c r="B917" s="690" t="s">
        <v>543</v>
      </c>
      <c r="C917" s="947">
        <f>CEILING(130*$Z$1,0.1)</f>
        <v>162.5</v>
      </c>
      <c r="D917" s="957"/>
      <c r="E917" s="947">
        <f>CEILING(140*$Z$1,0.1)</f>
        <v>175</v>
      </c>
      <c r="F917" s="957"/>
      <c r="G917" s="947">
        <f>CEILING(130*$Z$1,0.1)</f>
        <v>162.5</v>
      </c>
      <c r="H917" s="957"/>
      <c r="I917" s="1"/>
      <c r="J917" s="273"/>
      <c r="K917" s="273"/>
      <c r="L917" s="273"/>
      <c r="M917" s="273"/>
      <c r="N917" s="273"/>
      <c r="O917" s="273"/>
    </row>
    <row r="918" spans="1:15" ht="15.75" thickBot="1">
      <c r="A918" s="378" t="s">
        <v>326</v>
      </c>
      <c r="B918" s="687" t="s">
        <v>544</v>
      </c>
      <c r="C918" s="947">
        <f>CEILING((C917+60*$Z$1),0.1)</f>
        <v>237.5</v>
      </c>
      <c r="D918" s="957"/>
      <c r="E918" s="947">
        <f>CEILING((E917+60*$Z$1),0.1)</f>
        <v>250</v>
      </c>
      <c r="F918" s="957"/>
      <c r="G918" s="947">
        <f>CEILING((G917+60*$Z$1),0.1)</f>
        <v>237.5</v>
      </c>
      <c r="H918" s="957"/>
      <c r="I918" s="1"/>
      <c r="J918" s="273"/>
      <c r="K918" s="273"/>
      <c r="L918" s="273"/>
      <c r="M918" s="273"/>
      <c r="N918" s="273"/>
      <c r="O918" s="273"/>
    </row>
    <row r="919" spans="1:15" ht="15" thickTop="1">
      <c r="A919" s="1117" t="s">
        <v>192</v>
      </c>
      <c r="B919" s="1007"/>
      <c r="C919" s="1007"/>
      <c r="D919" s="1007"/>
      <c r="E919" s="1007"/>
      <c r="F919" s="1007"/>
      <c r="G919" s="1007"/>
      <c r="H919" s="1007"/>
      <c r="I919" s="1"/>
      <c r="J919" s="273"/>
      <c r="K919" s="273"/>
      <c r="L919" s="273"/>
      <c r="M919" s="273"/>
      <c r="N919" s="273"/>
      <c r="O919" s="273"/>
    </row>
    <row r="920" spans="1:15" ht="14.25">
      <c r="A920" s="544" t="s">
        <v>850</v>
      </c>
      <c r="B920" s="667"/>
      <c r="C920" s="667"/>
      <c r="D920" s="667"/>
      <c r="E920" s="667"/>
      <c r="F920" s="667"/>
      <c r="G920" s="667"/>
      <c r="H920" s="667"/>
      <c r="I920" s="1"/>
      <c r="J920" s="273"/>
      <c r="K920" s="273"/>
      <c r="L920" s="273"/>
      <c r="M920" s="273"/>
      <c r="N920" s="273"/>
      <c r="O920" s="273"/>
    </row>
    <row r="921" spans="1:15" ht="15" customHeight="1">
      <c r="A921" s="1049" t="s">
        <v>561</v>
      </c>
      <c r="B921" s="1050"/>
      <c r="C921" s="1050"/>
      <c r="D921" s="1050"/>
      <c r="E921" s="1050"/>
      <c r="F921" s="1050"/>
      <c r="G921" s="1050"/>
      <c r="H921" s="1050"/>
      <c r="I921" s="1"/>
      <c r="J921" s="273"/>
      <c r="K921" s="273"/>
      <c r="L921" s="273"/>
      <c r="M921" s="273"/>
      <c r="N921" s="273"/>
      <c r="O921" s="273"/>
    </row>
    <row r="922" spans="1:15" ht="21.75" customHeight="1" thickBot="1">
      <c r="A922" s="89"/>
      <c r="B922" s="89"/>
      <c r="C922" s="89"/>
      <c r="D922" s="89"/>
      <c r="E922" s="89"/>
      <c r="F922" s="89"/>
      <c r="G922" s="89"/>
      <c r="H922" s="89"/>
      <c r="I922" s="1"/>
      <c r="J922" s="273"/>
      <c r="K922" s="273"/>
      <c r="L922" s="273"/>
      <c r="M922" s="273"/>
      <c r="N922" s="273"/>
      <c r="O922" s="273"/>
    </row>
    <row r="923" spans="1:15" ht="26.25" customHeight="1" thickTop="1">
      <c r="A923" s="697" t="s">
        <v>4</v>
      </c>
      <c r="B923" s="11"/>
      <c r="C923" s="945" t="s">
        <v>592</v>
      </c>
      <c r="D923" s="946"/>
      <c r="E923" s="945" t="s">
        <v>593</v>
      </c>
      <c r="F923" s="946"/>
      <c r="G923" s="945" t="s">
        <v>594</v>
      </c>
      <c r="H923" s="964"/>
      <c r="I923" s="6"/>
      <c r="J923" s="273"/>
      <c r="K923" s="273"/>
      <c r="L923" s="273"/>
      <c r="M923" s="273"/>
      <c r="N923" s="273"/>
      <c r="O923" s="273"/>
    </row>
    <row r="924" spans="1:15" ht="15">
      <c r="A924" s="345" t="s">
        <v>249</v>
      </c>
      <c r="B924" s="521" t="s">
        <v>285</v>
      </c>
      <c r="C924" s="981">
        <f>CEILING(55*$Z$1,0.1)</f>
        <v>68.8</v>
      </c>
      <c r="D924" s="982"/>
      <c r="E924" s="981">
        <f>CEILING(65*$Z$1,0.1)</f>
        <v>81.30000000000001</v>
      </c>
      <c r="F924" s="982"/>
      <c r="G924" s="981">
        <f>CEILING(55*$Z$1,0.1)</f>
        <v>68.8</v>
      </c>
      <c r="H924" s="982"/>
      <c r="I924" s="6"/>
      <c r="J924" s="273"/>
      <c r="K924" s="273"/>
      <c r="L924" s="273"/>
      <c r="M924" s="273"/>
      <c r="N924" s="273"/>
      <c r="O924" s="273"/>
    </row>
    <row r="925" spans="1:15" ht="15">
      <c r="A925" s="270" t="s">
        <v>6</v>
      </c>
      <c r="B925" s="568" t="s">
        <v>286</v>
      </c>
      <c r="C925" s="951">
        <f>CEILING((C924+25*$Z$1),0.1)</f>
        <v>100.10000000000001</v>
      </c>
      <c r="D925" s="952"/>
      <c r="E925" s="951">
        <f>CEILING((E924+25*$Z$1),0.1)</f>
        <v>112.60000000000001</v>
      </c>
      <c r="F925" s="952"/>
      <c r="G925" s="951">
        <f>CEILING((G924+25*$Z$1),0.1)</f>
        <v>100.10000000000001</v>
      </c>
      <c r="H925" s="952"/>
      <c r="I925" s="1"/>
      <c r="J925" s="273"/>
      <c r="K925" s="273"/>
      <c r="L925" s="273"/>
      <c r="M925" s="273"/>
      <c r="N925" s="273"/>
      <c r="O925" s="273"/>
    </row>
    <row r="926" spans="1:15" ht="15.75" customHeight="1">
      <c r="A926" s="270"/>
      <c r="B926" s="568" t="s">
        <v>69</v>
      </c>
      <c r="C926" s="951">
        <f>CEILING((C924*0.85),0.1)</f>
        <v>58.5</v>
      </c>
      <c r="D926" s="952"/>
      <c r="E926" s="951">
        <f>CEILING((E924*0.85),0.1)</f>
        <v>69.2</v>
      </c>
      <c r="F926" s="952"/>
      <c r="G926" s="951">
        <f>CEILING((G924*0.85),0.1)</f>
        <v>58.5</v>
      </c>
      <c r="H926" s="952"/>
      <c r="I926" s="1"/>
      <c r="J926" s="273"/>
      <c r="K926" s="273"/>
      <c r="L926" s="273"/>
      <c r="M926" s="273"/>
      <c r="N926" s="273"/>
      <c r="O926" s="273"/>
    </row>
    <row r="927" spans="1:15" ht="16.5" customHeight="1">
      <c r="A927" s="346"/>
      <c r="B927" s="641" t="s">
        <v>101</v>
      </c>
      <c r="C927" s="947">
        <v>0</v>
      </c>
      <c r="D927" s="957"/>
      <c r="E927" s="947">
        <v>0</v>
      </c>
      <c r="F927" s="957"/>
      <c r="G927" s="947">
        <v>0</v>
      </c>
      <c r="H927" s="957"/>
      <c r="I927" s="1"/>
      <c r="J927" s="273"/>
      <c r="K927" s="273"/>
      <c r="L927" s="273"/>
      <c r="M927" s="273"/>
      <c r="N927" s="273"/>
      <c r="O927" s="273"/>
    </row>
    <row r="928" spans="1:15" ht="16.5" customHeight="1">
      <c r="A928" s="270"/>
      <c r="B928" s="566" t="s">
        <v>287</v>
      </c>
      <c r="C928" s="947">
        <f>CEILING(80*$Z$1,0.1)</f>
        <v>100</v>
      </c>
      <c r="D928" s="957"/>
      <c r="E928" s="947">
        <f>CEILING(90*$Z$1,0.1)</f>
        <v>112.5</v>
      </c>
      <c r="F928" s="957"/>
      <c r="G928" s="947">
        <f>CEILING(80*$Z$1,0.1)</f>
        <v>100</v>
      </c>
      <c r="H928" s="957"/>
      <c r="I928" s="1"/>
      <c r="J928" s="273"/>
      <c r="K928" s="273"/>
      <c r="L928" s="273"/>
      <c r="M928" s="273"/>
      <c r="N928" s="273"/>
      <c r="O928" s="273"/>
    </row>
    <row r="929" spans="1:15" ht="16.5" customHeight="1">
      <c r="A929" s="857"/>
      <c r="B929" s="566" t="s">
        <v>288</v>
      </c>
      <c r="C929" s="951">
        <f>CEILING((C928+25*$Z$1),0.1)</f>
        <v>131.3</v>
      </c>
      <c r="D929" s="952"/>
      <c r="E929" s="951">
        <f>CEILING((E928+25*$Z$1),0.1)</f>
        <v>143.8</v>
      </c>
      <c r="F929" s="952"/>
      <c r="G929" s="951">
        <f>CEILING((G928+25*$Z$1),0.1)</f>
        <v>131.3</v>
      </c>
      <c r="H929" s="952"/>
      <c r="I929" s="1"/>
      <c r="J929" s="273"/>
      <c r="K929" s="273"/>
      <c r="L929" s="273"/>
      <c r="M929" s="273"/>
      <c r="N929" s="273"/>
      <c r="O929" s="273"/>
    </row>
    <row r="930" spans="1:15" ht="16.5" customHeight="1" thickBot="1">
      <c r="A930" s="378" t="s">
        <v>545</v>
      </c>
      <c r="B930" s="668" t="s">
        <v>851</v>
      </c>
      <c r="C930" s="958">
        <f>CEILING(85*$Z$1,0.1)</f>
        <v>106.30000000000001</v>
      </c>
      <c r="D930" s="959"/>
      <c r="E930" s="958">
        <f>CEILING(95*$Z$1,0.1)</f>
        <v>118.80000000000001</v>
      </c>
      <c r="F930" s="959"/>
      <c r="G930" s="958">
        <f>CEILING(85*$Z$1,0.1)</f>
        <v>106.30000000000001</v>
      </c>
      <c r="H930" s="959"/>
      <c r="I930" s="1"/>
      <c r="J930" s="273"/>
      <c r="K930" s="273"/>
      <c r="L930" s="273"/>
      <c r="M930" s="273"/>
      <c r="N930" s="273"/>
      <c r="O930" s="273"/>
    </row>
    <row r="931" spans="1:15" ht="15" thickTop="1">
      <c r="A931" s="1083" t="s">
        <v>250</v>
      </c>
      <c r="B931" s="1083"/>
      <c r="C931" s="1083"/>
      <c r="D931" s="1083"/>
      <c r="E931" s="1083"/>
      <c r="F931" s="1083"/>
      <c r="G931" s="1083"/>
      <c r="H931" s="1083"/>
      <c r="I931" s="1083"/>
      <c r="J931" s="1083"/>
      <c r="K931" s="273"/>
      <c r="L931" s="273"/>
      <c r="M931" s="273"/>
      <c r="N931" s="273"/>
      <c r="O931" s="273"/>
    </row>
    <row r="932" spans="1:15" ht="14.25">
      <c r="A932" s="544" t="s">
        <v>852</v>
      </c>
      <c r="B932" s="666"/>
      <c r="C932" s="666"/>
      <c r="D932" s="666"/>
      <c r="E932" s="666"/>
      <c r="F932" s="666"/>
      <c r="G932" s="666"/>
      <c r="H932" s="666"/>
      <c r="I932" s="665"/>
      <c r="J932" s="665"/>
      <c r="K932" s="273"/>
      <c r="L932" s="273"/>
      <c r="M932" s="273"/>
      <c r="N932" s="273"/>
      <c r="O932" s="273"/>
    </row>
    <row r="933" spans="1:15" ht="14.25">
      <c r="A933" s="1049" t="s">
        <v>561</v>
      </c>
      <c r="B933" s="1050"/>
      <c r="C933" s="1050"/>
      <c r="D933" s="1050"/>
      <c r="E933" s="1050"/>
      <c r="F933" s="1050"/>
      <c r="G933" s="1050"/>
      <c r="H933" s="1050"/>
      <c r="I933" s="702"/>
      <c r="J933" s="702"/>
      <c r="K933" s="273"/>
      <c r="L933" s="273"/>
      <c r="M933" s="273"/>
      <c r="N933" s="273"/>
      <c r="O933" s="273"/>
    </row>
    <row r="934" spans="1:15" ht="17.25" customHeight="1" thickBot="1">
      <c r="A934" s="1157"/>
      <c r="B934" s="1157"/>
      <c r="C934" s="1157"/>
      <c r="D934" s="1157"/>
      <c r="E934" s="1157"/>
      <c r="F934" s="1157"/>
      <c r="G934" s="1157"/>
      <c r="H934" s="1157"/>
      <c r="I934" s="1"/>
      <c r="J934" s="273"/>
      <c r="K934" s="273"/>
      <c r="L934" s="273"/>
      <c r="M934" s="273"/>
      <c r="N934" s="273"/>
      <c r="O934" s="273"/>
    </row>
    <row r="935" spans="1:15" ht="24" customHeight="1" thickTop="1">
      <c r="A935" s="697" t="s">
        <v>4</v>
      </c>
      <c r="B935" s="32"/>
      <c r="C935" s="945" t="s">
        <v>592</v>
      </c>
      <c r="D935" s="946"/>
      <c r="E935" s="945" t="s">
        <v>593</v>
      </c>
      <c r="F935" s="946"/>
      <c r="G935" s="945" t="s">
        <v>594</v>
      </c>
      <c r="H935" s="964"/>
      <c r="I935" s="288"/>
      <c r="J935" s="273"/>
      <c r="K935" s="273"/>
      <c r="L935" s="273"/>
      <c r="M935" s="273"/>
      <c r="N935" s="273"/>
      <c r="O935" s="273"/>
    </row>
    <row r="936" spans="1:15" ht="15">
      <c r="A936" s="18" t="s">
        <v>86</v>
      </c>
      <c r="B936" s="225" t="s">
        <v>11</v>
      </c>
      <c r="C936" s="981">
        <f>CEILING(45*$Z$1,0.1)</f>
        <v>56.300000000000004</v>
      </c>
      <c r="D936" s="982"/>
      <c r="E936" s="981">
        <f>CEILING(53*$Z$1,0.1)</f>
        <v>66.3</v>
      </c>
      <c r="F936" s="982"/>
      <c r="G936" s="981">
        <f>CEILING(45*$Z$1,0.1)</f>
        <v>56.300000000000004</v>
      </c>
      <c r="H936" s="982"/>
      <c r="I936" s="6"/>
      <c r="J936" s="273"/>
      <c r="K936" s="273"/>
      <c r="L936" s="273"/>
      <c r="M936" s="273"/>
      <c r="N936" s="273"/>
      <c r="O936" s="273"/>
    </row>
    <row r="937" spans="1:15" ht="14.25" customHeight="1">
      <c r="A937" s="21" t="s">
        <v>18</v>
      </c>
      <c r="B937" s="139" t="s">
        <v>7</v>
      </c>
      <c r="C937" s="951">
        <f>CEILING((C936+20*$Z$1),0.1)</f>
        <v>81.30000000000001</v>
      </c>
      <c r="D937" s="952"/>
      <c r="E937" s="951">
        <f>CEILING((E936+20*$Z$1),0.1)</f>
        <v>91.30000000000001</v>
      </c>
      <c r="F937" s="952"/>
      <c r="G937" s="951">
        <f>CEILING((G936+20*$Z$1),0.1)</f>
        <v>81.30000000000001</v>
      </c>
      <c r="H937" s="952"/>
      <c r="I937" s="6"/>
      <c r="J937" s="273"/>
      <c r="K937" s="273"/>
      <c r="L937" s="273"/>
      <c r="M937" s="273"/>
      <c r="N937" s="273"/>
      <c r="O937" s="273"/>
    </row>
    <row r="938" spans="1:15" ht="15.75" customHeight="1">
      <c r="A938" s="21"/>
      <c r="B938" s="139" t="s">
        <v>69</v>
      </c>
      <c r="C938" s="951">
        <f>CEILING((C936*0.85),0.1)</f>
        <v>47.900000000000006</v>
      </c>
      <c r="D938" s="952"/>
      <c r="E938" s="951">
        <f>CEILING((E936*0.85),0.1)</f>
        <v>56.400000000000006</v>
      </c>
      <c r="F938" s="952"/>
      <c r="G938" s="951">
        <f>CEILING((G936*0.85),0.1)</f>
        <v>47.900000000000006</v>
      </c>
      <c r="H938" s="952"/>
      <c r="I938" s="6"/>
      <c r="J938" s="273"/>
      <c r="K938" s="273"/>
      <c r="L938" s="273"/>
      <c r="M938" s="273"/>
      <c r="N938" s="273"/>
      <c r="O938" s="273"/>
    </row>
    <row r="939" spans="1:15" ht="15" customHeight="1">
      <c r="A939" s="21"/>
      <c r="B939" s="24" t="s">
        <v>239</v>
      </c>
      <c r="C939" s="949">
        <v>0</v>
      </c>
      <c r="D939" s="953"/>
      <c r="E939" s="949">
        <v>0</v>
      </c>
      <c r="F939" s="953"/>
      <c r="G939" s="949">
        <v>0</v>
      </c>
      <c r="H939" s="953"/>
      <c r="I939" s="6"/>
      <c r="J939" s="273"/>
      <c r="K939" s="273"/>
      <c r="L939" s="273"/>
      <c r="M939" s="273"/>
      <c r="N939" s="273"/>
      <c r="O939" s="273"/>
    </row>
    <row r="940" spans="1:15" ht="15">
      <c r="A940" s="21"/>
      <c r="B940" s="22" t="s">
        <v>848</v>
      </c>
      <c r="C940" s="1119">
        <f>CEILING(60*$Z$1,0.1)</f>
        <v>75</v>
      </c>
      <c r="D940" s="1120"/>
      <c r="E940" s="1119">
        <f>CEILING(68*$Z$1,0.1)</f>
        <v>85</v>
      </c>
      <c r="F940" s="1120"/>
      <c r="G940" s="1119">
        <f>CEILING(60*$Z$1,0.1)</f>
        <v>75</v>
      </c>
      <c r="H940" s="1120"/>
      <c r="I940" s="1"/>
      <c r="J940" s="273"/>
      <c r="K940" s="273"/>
      <c r="L940" s="273"/>
      <c r="M940" s="273"/>
      <c r="N940" s="273"/>
      <c r="O940" s="273"/>
    </row>
    <row r="941" spans="1:15" ht="15.75" thickBot="1">
      <c r="A941" s="378" t="s">
        <v>326</v>
      </c>
      <c r="B941" s="28" t="s">
        <v>849</v>
      </c>
      <c r="C941" s="1091">
        <f>CEILING((C940+20*$Z$1),0.1)</f>
        <v>100</v>
      </c>
      <c r="D941" s="1092"/>
      <c r="E941" s="1091">
        <f>CEILING((E940+20*$Z$1),0.1)</f>
        <v>110</v>
      </c>
      <c r="F941" s="1092"/>
      <c r="G941" s="1091">
        <f>CEILING((G940+20*$Z$1),0.1)</f>
        <v>100</v>
      </c>
      <c r="H941" s="1092"/>
      <c r="I941" s="1"/>
      <c r="J941" s="273"/>
      <c r="K941" s="273"/>
      <c r="L941" s="273"/>
      <c r="M941" s="273"/>
      <c r="N941" s="273"/>
      <c r="O941" s="273"/>
    </row>
    <row r="942" spans="1:15" ht="15" thickTop="1">
      <c r="A942" s="544" t="s">
        <v>540</v>
      </c>
      <c r="B942" s="666"/>
      <c r="C942" s="666"/>
      <c r="D942" s="666"/>
      <c r="E942" s="666"/>
      <c r="F942" s="666"/>
      <c r="G942" s="666"/>
      <c r="H942" s="666"/>
      <c r="I942" s="1"/>
      <c r="J942" s="273"/>
      <c r="K942" s="273"/>
      <c r="L942" s="273"/>
      <c r="M942" s="273"/>
      <c r="N942" s="273"/>
      <c r="O942" s="273"/>
    </row>
    <row r="943" spans="1:15" ht="14.25">
      <c r="A943" s="1049" t="s">
        <v>561</v>
      </c>
      <c r="B943" s="1050"/>
      <c r="C943" s="1050"/>
      <c r="D943" s="1050"/>
      <c r="E943" s="1050"/>
      <c r="F943" s="1050"/>
      <c r="G943" s="1050"/>
      <c r="H943" s="1050"/>
      <c r="I943" s="1"/>
      <c r="J943" s="273"/>
      <c r="K943" s="273"/>
      <c r="L943" s="273"/>
      <c r="M943" s="273"/>
      <c r="N943" s="273"/>
      <c r="O943" s="273"/>
    </row>
    <row r="944" spans="1:15" ht="21" customHeight="1" thickBot="1">
      <c r="A944" s="10"/>
      <c r="B944" s="10"/>
      <c r="C944" s="10"/>
      <c r="D944" s="10"/>
      <c r="E944" s="10"/>
      <c r="F944" s="10"/>
      <c r="G944" s="10"/>
      <c r="H944" s="10"/>
      <c r="I944" s="7"/>
      <c r="J944" s="273"/>
      <c r="K944" s="273"/>
      <c r="L944" s="273"/>
      <c r="M944" s="273"/>
      <c r="N944" s="273"/>
      <c r="O944" s="273"/>
    </row>
    <row r="945" spans="1:15" ht="27.75" customHeight="1" thickTop="1">
      <c r="A945" s="697" t="s">
        <v>4</v>
      </c>
      <c r="B945" s="32"/>
      <c r="C945" s="945" t="s">
        <v>592</v>
      </c>
      <c r="D945" s="946"/>
      <c r="E945" s="945" t="s">
        <v>593</v>
      </c>
      <c r="F945" s="946"/>
      <c r="G945" s="945" t="s">
        <v>594</v>
      </c>
      <c r="H945" s="964"/>
      <c r="I945" s="288"/>
      <c r="J945" s="273"/>
      <c r="K945" s="273"/>
      <c r="L945" s="273"/>
      <c r="M945" s="273"/>
      <c r="N945" s="273"/>
      <c r="O945" s="273"/>
    </row>
    <row r="946" spans="1:15" ht="15">
      <c r="A946" s="18" t="s">
        <v>87</v>
      </c>
      <c r="B946" s="225" t="s">
        <v>11</v>
      </c>
      <c r="C946" s="951">
        <f>CEILING(50*$Z$1,0.1)</f>
        <v>62.5</v>
      </c>
      <c r="D946" s="954"/>
      <c r="E946" s="951">
        <f>CEILING(55*$Z$1,0.1)</f>
        <v>68.8</v>
      </c>
      <c r="F946" s="954"/>
      <c r="G946" s="951">
        <f>CEILING(50*$Z$1,0.1)</f>
        <v>62.5</v>
      </c>
      <c r="H946" s="954"/>
      <c r="I946" s="6"/>
      <c r="J946" s="273"/>
      <c r="K946" s="273"/>
      <c r="L946" s="273"/>
      <c r="M946" s="273"/>
      <c r="N946" s="273"/>
      <c r="O946" s="273"/>
    </row>
    <row r="947" spans="1:15" ht="15">
      <c r="A947" s="21" t="s">
        <v>18</v>
      </c>
      <c r="B947" s="139" t="s">
        <v>7</v>
      </c>
      <c r="C947" s="951">
        <f>CEILING((C946+20*$Z$1),0.1)</f>
        <v>87.5</v>
      </c>
      <c r="D947" s="952"/>
      <c r="E947" s="951">
        <f>CEILING((E946+20*$Z$1),0.1)</f>
        <v>93.80000000000001</v>
      </c>
      <c r="F947" s="952"/>
      <c r="G947" s="951">
        <f>CEILING((G946+20*$Z$1),0.1)</f>
        <v>87.5</v>
      </c>
      <c r="H947" s="952"/>
      <c r="I947" s="6"/>
      <c r="J947" s="273"/>
      <c r="K947" s="273"/>
      <c r="L947" s="273"/>
      <c r="M947" s="273"/>
      <c r="N947" s="273"/>
      <c r="O947" s="273"/>
    </row>
    <row r="948" spans="1:15" ht="15">
      <c r="A948" s="21"/>
      <c r="B948" s="139" t="s">
        <v>69</v>
      </c>
      <c r="C948" s="951">
        <f>CEILING((C946*0.85),0.1)</f>
        <v>53.2</v>
      </c>
      <c r="D948" s="952"/>
      <c r="E948" s="951">
        <f>CEILING((E946*0.85),0.1)</f>
        <v>58.5</v>
      </c>
      <c r="F948" s="952"/>
      <c r="G948" s="951">
        <f>CEILING((G946*0.85),0.1)</f>
        <v>53.2</v>
      </c>
      <c r="H948" s="952"/>
      <c r="I948" s="6"/>
      <c r="J948" s="273"/>
      <c r="K948" s="273"/>
      <c r="L948" s="273"/>
      <c r="M948" s="273"/>
      <c r="N948" s="273"/>
      <c r="O948" s="273"/>
    </row>
    <row r="949" spans="1:15" ht="16.5" customHeight="1">
      <c r="A949" s="21"/>
      <c r="B949" s="24" t="s">
        <v>239</v>
      </c>
      <c r="C949" s="947">
        <v>0</v>
      </c>
      <c r="D949" s="957"/>
      <c r="E949" s="947">
        <v>0</v>
      </c>
      <c r="F949" s="957"/>
      <c r="G949" s="947">
        <v>0</v>
      </c>
      <c r="H949" s="957"/>
      <c r="I949" s="6"/>
      <c r="J949" s="273"/>
      <c r="K949" s="273"/>
      <c r="L949" s="273"/>
      <c r="M949" s="273"/>
      <c r="N949" s="273"/>
      <c r="O949" s="273"/>
    </row>
    <row r="950" spans="1:15" ht="15">
      <c r="A950" s="21"/>
      <c r="B950" s="22" t="s">
        <v>74</v>
      </c>
      <c r="C950" s="947">
        <f>CEILING(60*$Z$1,0.1)</f>
        <v>75</v>
      </c>
      <c r="D950" s="957"/>
      <c r="E950" s="947">
        <f>CEILING(65*$Z$1,0.1)</f>
        <v>81.30000000000001</v>
      </c>
      <c r="F950" s="957"/>
      <c r="G950" s="947">
        <f>CEILING(60*$Z$1,0.1)</f>
        <v>75</v>
      </c>
      <c r="H950" s="957"/>
      <c r="I950" s="6"/>
      <c r="J950" s="273"/>
      <c r="K950" s="273"/>
      <c r="L950" s="273"/>
      <c r="M950" s="273"/>
      <c r="N950" s="273"/>
      <c r="O950" s="273"/>
    </row>
    <row r="951" spans="1:15" ht="15">
      <c r="A951" s="21"/>
      <c r="B951" s="22" t="s">
        <v>75</v>
      </c>
      <c r="C951" s="947">
        <f>CEILING((C950+20*$Z$1),0.1)</f>
        <v>100</v>
      </c>
      <c r="D951" s="957"/>
      <c r="E951" s="947">
        <f>CEILING((E950+20*$Z$1),0.1)</f>
        <v>106.30000000000001</v>
      </c>
      <c r="F951" s="957"/>
      <c r="G951" s="947">
        <f>CEILING((G950+20*$Z$1),0.1)</f>
        <v>100</v>
      </c>
      <c r="H951" s="957"/>
      <c r="I951" s="6"/>
      <c r="J951" s="273"/>
      <c r="K951" s="273"/>
      <c r="L951" s="273"/>
      <c r="M951" s="273"/>
      <c r="N951" s="273"/>
      <c r="O951" s="273"/>
    </row>
    <row r="952" spans="1:15" ht="15">
      <c r="A952" s="21"/>
      <c r="B952" s="22" t="s">
        <v>299</v>
      </c>
      <c r="C952" s="947">
        <f>CEILING(70*$Z$1,0.1)</f>
        <v>87.5</v>
      </c>
      <c r="D952" s="957"/>
      <c r="E952" s="947">
        <f>CEILING(75*$Z$1,0.1)</f>
        <v>93.80000000000001</v>
      </c>
      <c r="F952" s="957"/>
      <c r="G952" s="947">
        <f>CEILING(70*$Z$1,0.1)</f>
        <v>87.5</v>
      </c>
      <c r="H952" s="957"/>
      <c r="I952" s="6"/>
      <c r="J952" s="273"/>
      <c r="K952" s="273"/>
      <c r="L952" s="273"/>
      <c r="M952" s="273"/>
      <c r="N952" s="273"/>
      <c r="O952" s="273"/>
    </row>
    <row r="953" spans="1:15" ht="18" customHeight="1" thickBot="1">
      <c r="A953" s="378" t="s">
        <v>326</v>
      </c>
      <c r="B953" s="28" t="s">
        <v>300</v>
      </c>
      <c r="C953" s="958">
        <f>CEILING((C952+20*$Z$1),0.1)</f>
        <v>112.5</v>
      </c>
      <c r="D953" s="959"/>
      <c r="E953" s="958">
        <f>CEILING((E952+20*$Z$1),0.1)</f>
        <v>118.80000000000001</v>
      </c>
      <c r="F953" s="959"/>
      <c r="G953" s="958">
        <f>CEILING((G952+20*$Z$1),0.1)</f>
        <v>112.5</v>
      </c>
      <c r="H953" s="959"/>
      <c r="I953" s="1"/>
      <c r="J953" s="273"/>
      <c r="K953" s="273"/>
      <c r="L953" s="273"/>
      <c r="M953" s="273"/>
      <c r="N953" s="273"/>
      <c r="O953" s="273"/>
    </row>
    <row r="954" spans="1:15" ht="18" customHeight="1" thickTop="1">
      <c r="A954" s="544" t="s">
        <v>540</v>
      </c>
      <c r="B954" s="666"/>
      <c r="C954" s="666"/>
      <c r="D954" s="666"/>
      <c r="E954" s="666"/>
      <c r="F954" s="666"/>
      <c r="G954" s="666"/>
      <c r="H954" s="666"/>
      <c r="I954" s="1"/>
      <c r="J954" s="273"/>
      <c r="K954" s="273"/>
      <c r="L954" s="273"/>
      <c r="M954" s="273"/>
      <c r="N954" s="273"/>
      <c r="O954" s="273"/>
    </row>
    <row r="955" spans="1:15" ht="14.25">
      <c r="A955" s="1049" t="s">
        <v>561</v>
      </c>
      <c r="B955" s="1050"/>
      <c r="C955" s="1050"/>
      <c r="D955" s="1050"/>
      <c r="E955" s="1050"/>
      <c r="F955" s="1050"/>
      <c r="G955" s="1050"/>
      <c r="H955" s="1050"/>
      <c r="I955" s="1"/>
      <c r="J955" s="273"/>
      <c r="K955" s="273"/>
      <c r="L955" s="273"/>
      <c r="M955" s="273"/>
      <c r="N955" s="273"/>
      <c r="O955" s="273"/>
    </row>
    <row r="956" spans="1:15" ht="18" customHeight="1" thickBot="1">
      <c r="A956" s="104"/>
      <c r="B956" s="103"/>
      <c r="C956" s="68"/>
      <c r="D956" s="68"/>
      <c r="E956" s="68"/>
      <c r="F956" s="68"/>
      <c r="G956" s="68"/>
      <c r="H956" s="68"/>
      <c r="I956" s="1"/>
      <c r="J956" s="273"/>
      <c r="K956" s="273"/>
      <c r="L956" s="273"/>
      <c r="M956" s="273"/>
      <c r="N956" s="273"/>
      <c r="O956" s="273"/>
    </row>
    <row r="957" spans="1:15" ht="22.5" customHeight="1" thickTop="1">
      <c r="A957" s="5" t="s">
        <v>4</v>
      </c>
      <c r="B957" s="32"/>
      <c r="C957" s="1030" t="s">
        <v>592</v>
      </c>
      <c r="D957" s="1031"/>
      <c r="E957" s="1030" t="s">
        <v>593</v>
      </c>
      <c r="F957" s="1031"/>
      <c r="G957" s="1030" t="s">
        <v>594</v>
      </c>
      <c r="H957" s="1048"/>
      <c r="I957" s="264"/>
      <c r="J957" s="273"/>
      <c r="K957" s="273"/>
      <c r="L957" s="273"/>
      <c r="M957" s="273"/>
      <c r="N957" s="273"/>
      <c r="O957" s="273"/>
    </row>
    <row r="958" spans="1:15" ht="15.75" customHeight="1">
      <c r="A958" s="105" t="s">
        <v>901</v>
      </c>
      <c r="B958" s="294" t="s">
        <v>11</v>
      </c>
      <c r="C958" s="955">
        <f>CEILING(40*$Z$1,0.1)</f>
        <v>50</v>
      </c>
      <c r="D958" s="960"/>
      <c r="E958" s="955">
        <f>CEILING(48*$Z$1,0.1)</f>
        <v>60</v>
      </c>
      <c r="F958" s="960"/>
      <c r="G958" s="955">
        <f>CEILING(40*$Z$1,0.1)</f>
        <v>50</v>
      </c>
      <c r="H958" s="960"/>
      <c r="I958" s="853"/>
      <c r="J958" s="273"/>
      <c r="K958" s="273"/>
      <c r="L958" s="273"/>
      <c r="M958" s="273"/>
      <c r="N958" s="273"/>
      <c r="O958" s="273"/>
    </row>
    <row r="959" spans="1:15" ht="16.5" customHeight="1">
      <c r="A959" s="515" t="s">
        <v>898</v>
      </c>
      <c r="B959" s="294" t="s">
        <v>7</v>
      </c>
      <c r="C959" s="955">
        <f>CEILING((C958+18*$Z$1),0.1)</f>
        <v>72.5</v>
      </c>
      <c r="D959" s="956"/>
      <c r="E959" s="955">
        <f>CEILING((E958+18*$Z$1),0.1)</f>
        <v>82.5</v>
      </c>
      <c r="F959" s="956"/>
      <c r="G959" s="955">
        <f>CEILING((G958+18*$Z$1),0.1)</f>
        <v>72.5</v>
      </c>
      <c r="H959" s="956"/>
      <c r="I959" s="265"/>
      <c r="J959" s="273"/>
      <c r="K959" s="273"/>
      <c r="L959" s="273"/>
      <c r="M959" s="273"/>
      <c r="N959" s="273"/>
      <c r="O959" s="273"/>
    </row>
    <row r="960" spans="1:15" ht="17.25" customHeight="1">
      <c r="A960" s="571" t="s">
        <v>899</v>
      </c>
      <c r="B960" s="294" t="s">
        <v>69</v>
      </c>
      <c r="C960" s="955">
        <f>CEILING((C958*0.85),0.1)</f>
        <v>42.5</v>
      </c>
      <c r="D960" s="956"/>
      <c r="E960" s="955">
        <f>CEILING((E958*0.85),0.1)</f>
        <v>51</v>
      </c>
      <c r="F960" s="956"/>
      <c r="G960" s="955">
        <f>CEILING((G958*0.85),0.1)</f>
        <v>42.5</v>
      </c>
      <c r="H960" s="956"/>
      <c r="I960" s="265"/>
      <c r="J960" s="273"/>
      <c r="K960" s="273"/>
      <c r="L960" s="273"/>
      <c r="M960" s="273"/>
      <c r="N960" s="273"/>
      <c r="O960" s="273"/>
    </row>
    <row r="961" spans="1:15" ht="19.5" customHeight="1" thickBot="1">
      <c r="A961" s="106" t="s">
        <v>232</v>
      </c>
      <c r="B961" s="304" t="s">
        <v>384</v>
      </c>
      <c r="C961" s="978">
        <v>0</v>
      </c>
      <c r="D961" s="1070"/>
      <c r="E961" s="978">
        <f>CEILING((E958*0.5),0.1)</f>
        <v>30</v>
      </c>
      <c r="F961" s="1085"/>
      <c r="G961" s="978">
        <v>0</v>
      </c>
      <c r="H961" s="1070"/>
      <c r="I961" s="265"/>
      <c r="J961" s="273"/>
      <c r="K961" s="273"/>
      <c r="L961" s="273"/>
      <c r="M961" s="273"/>
      <c r="N961" s="273"/>
      <c r="O961" s="273"/>
    </row>
    <row r="962" spans="1:15" ht="18.75" customHeight="1" thickTop="1">
      <c r="A962" s="1083" t="s">
        <v>233</v>
      </c>
      <c r="B962" s="1083"/>
      <c r="C962" s="1083"/>
      <c r="D962" s="1083"/>
      <c r="E962" s="1083"/>
      <c r="F962" s="1083"/>
      <c r="G962" s="1083"/>
      <c r="H962" s="1083"/>
      <c r="I962" s="1083"/>
      <c r="J962" s="1083"/>
      <c r="K962" s="1083"/>
      <c r="L962" s="1083"/>
      <c r="M962" s="273"/>
      <c r="N962" s="273"/>
      <c r="O962" s="273"/>
    </row>
    <row r="963" spans="1:15" ht="18" customHeight="1">
      <c r="A963" s="274" t="s">
        <v>409</v>
      </c>
      <c r="B963" s="623"/>
      <c r="C963" s="623"/>
      <c r="D963" s="623"/>
      <c r="E963" s="623"/>
      <c r="F963" s="623"/>
      <c r="G963" s="623"/>
      <c r="H963" s="623"/>
      <c r="I963" s="623"/>
      <c r="J963" s="623"/>
      <c r="K963" s="623"/>
      <c r="L963" s="623"/>
      <c r="M963" s="273"/>
      <c r="N963" s="273"/>
      <c r="O963" s="273"/>
    </row>
    <row r="964" spans="1:15" ht="18" customHeight="1" hidden="1">
      <c r="A964" s="316"/>
      <c r="B964" s="849"/>
      <c r="C964" s="849"/>
      <c r="D964" s="849"/>
      <c r="E964" s="849"/>
      <c r="F964" s="849"/>
      <c r="G964" s="849"/>
      <c r="H964" s="849"/>
      <c r="I964" s="849"/>
      <c r="J964" s="849"/>
      <c r="K964" s="849"/>
      <c r="L964" s="849"/>
      <c r="M964" s="273"/>
      <c r="N964" s="273"/>
      <c r="O964" s="273"/>
    </row>
    <row r="965" spans="1:15" ht="19.5" customHeight="1" thickBot="1">
      <c r="A965" s="426"/>
      <c r="B965" s="108"/>
      <c r="C965" s="108"/>
      <c r="D965" s="108"/>
      <c r="E965" s="108"/>
      <c r="F965" s="108"/>
      <c r="G965" s="108"/>
      <c r="H965" s="108"/>
      <c r="I965" s="107"/>
      <c r="J965" s="273"/>
      <c r="K965" s="273"/>
      <c r="L965" s="273"/>
      <c r="M965" s="273"/>
      <c r="N965" s="273"/>
      <c r="O965" s="273"/>
    </row>
    <row r="966" spans="1:15" ht="24" customHeight="1" thickTop="1">
      <c r="A966" s="697" t="s">
        <v>4</v>
      </c>
      <c r="B966" s="11"/>
      <c r="C966" s="1030" t="s">
        <v>592</v>
      </c>
      <c r="D966" s="1031"/>
      <c r="E966" s="1030" t="s">
        <v>593</v>
      </c>
      <c r="F966" s="1031"/>
      <c r="G966" s="1030" t="s">
        <v>594</v>
      </c>
      <c r="H966" s="1048"/>
      <c r="I966" s="6"/>
      <c r="J966" s="273"/>
      <c r="K966" s="273"/>
      <c r="L966" s="273"/>
      <c r="M966" s="273"/>
      <c r="N966" s="273"/>
      <c r="O966" s="273"/>
    </row>
    <row r="967" spans="1:15" ht="17.25" customHeight="1">
      <c r="A967" s="206" t="s">
        <v>190</v>
      </c>
      <c r="B967" s="355" t="s">
        <v>13</v>
      </c>
      <c r="C967" s="981">
        <f>CEILING(60*$Z$1,0.1)</f>
        <v>75</v>
      </c>
      <c r="D967" s="982"/>
      <c r="E967" s="981">
        <f>CEILING(72*$Z$1,0.1)</f>
        <v>90</v>
      </c>
      <c r="F967" s="982"/>
      <c r="G967" s="981">
        <f>CEILING(60*$Z$1,0.1)</f>
        <v>75</v>
      </c>
      <c r="H967" s="982"/>
      <c r="I967" s="6"/>
      <c r="J967" s="273"/>
      <c r="K967" s="273"/>
      <c r="L967" s="273"/>
      <c r="M967" s="273"/>
      <c r="N967" s="273"/>
      <c r="O967" s="273"/>
    </row>
    <row r="968" spans="1:15" ht="17.25" customHeight="1">
      <c r="A968" s="163" t="s">
        <v>6</v>
      </c>
      <c r="B968" s="344" t="s">
        <v>62</v>
      </c>
      <c r="C968" s="951">
        <f>CEILING((C967+25*$Z$1),0.1)</f>
        <v>106.30000000000001</v>
      </c>
      <c r="D968" s="952"/>
      <c r="E968" s="951">
        <f>CEILING((E967+25*$Z$1),0.1)</f>
        <v>121.30000000000001</v>
      </c>
      <c r="F968" s="952"/>
      <c r="G968" s="951">
        <f>CEILING((G967+25*$Z$1),0.1)</f>
        <v>106.30000000000001</v>
      </c>
      <c r="H968" s="952"/>
      <c r="I968" s="6"/>
      <c r="J968" s="273"/>
      <c r="K968" s="273"/>
      <c r="L968" s="273"/>
      <c r="M968" s="273"/>
      <c r="N968" s="273"/>
      <c r="O968" s="273"/>
    </row>
    <row r="969" spans="1:15" ht="17.25" customHeight="1">
      <c r="A969" s="163"/>
      <c r="B969" s="337" t="s">
        <v>69</v>
      </c>
      <c r="C969" s="951">
        <f>CEILING((C967*0.85),0.1)</f>
        <v>63.800000000000004</v>
      </c>
      <c r="D969" s="952"/>
      <c r="E969" s="951">
        <f>CEILING((E967*0.85),0.1)</f>
        <v>76.5</v>
      </c>
      <c r="F969" s="952"/>
      <c r="G969" s="951">
        <f>CEILING((G967*0.85),0.1)</f>
        <v>63.800000000000004</v>
      </c>
      <c r="H969" s="952"/>
      <c r="I969" s="6"/>
      <c r="J969" s="273"/>
      <c r="K969" s="273"/>
      <c r="L969" s="273"/>
      <c r="M969" s="273"/>
      <c r="N969" s="273"/>
      <c r="O969" s="273"/>
    </row>
    <row r="970" spans="1:15" ht="17.25" customHeight="1">
      <c r="A970" s="239"/>
      <c r="B970" s="340" t="s">
        <v>101</v>
      </c>
      <c r="C970" s="951">
        <v>0</v>
      </c>
      <c r="D970" s="952"/>
      <c r="E970" s="951">
        <v>0</v>
      </c>
      <c r="F970" s="952"/>
      <c r="G970" s="951">
        <v>0</v>
      </c>
      <c r="H970" s="952"/>
      <c r="I970" s="6"/>
      <c r="J970" s="273"/>
      <c r="K970" s="273"/>
      <c r="L970" s="273"/>
      <c r="M970" s="273"/>
      <c r="N970" s="273"/>
      <c r="O970" s="273"/>
    </row>
    <row r="971" spans="1:15" ht="17.25" customHeight="1">
      <c r="A971" s="163"/>
      <c r="B971" s="340" t="s">
        <v>149</v>
      </c>
      <c r="C971" s="951">
        <f>CEILING(70*$Z$1,0.1)</f>
        <v>87.5</v>
      </c>
      <c r="D971" s="954"/>
      <c r="E971" s="951">
        <f>CEILING(82*$Z$1,0.1)</f>
        <v>102.5</v>
      </c>
      <c r="F971" s="954"/>
      <c r="G971" s="951">
        <f>CEILING(70*$Z$1,0.1)</f>
        <v>87.5</v>
      </c>
      <c r="H971" s="954"/>
      <c r="I971" s="6"/>
      <c r="J971" s="273"/>
      <c r="K971" s="273"/>
      <c r="L971" s="273"/>
      <c r="M971" s="273"/>
      <c r="N971" s="273"/>
      <c r="O971" s="273"/>
    </row>
    <row r="972" spans="1:15" ht="17.25" customHeight="1">
      <c r="A972" s="163"/>
      <c r="B972" s="340" t="s">
        <v>212</v>
      </c>
      <c r="C972" s="951">
        <f>CEILING((C971+25*$Z$1),0.1)</f>
        <v>118.80000000000001</v>
      </c>
      <c r="D972" s="954"/>
      <c r="E972" s="951">
        <f>CEILING((E971+25*$Z$1),0.1)</f>
        <v>133.8</v>
      </c>
      <c r="F972" s="954"/>
      <c r="G972" s="951">
        <f>CEILING((G971+25*$Z$1),0.1)</f>
        <v>118.80000000000001</v>
      </c>
      <c r="H972" s="954"/>
      <c r="I972" s="6"/>
      <c r="J972" s="273"/>
      <c r="K972" s="273"/>
      <c r="L972" s="273"/>
      <c r="M972" s="273"/>
      <c r="N972" s="273"/>
      <c r="O972" s="273"/>
    </row>
    <row r="973" spans="1:15" ht="17.25" customHeight="1">
      <c r="A973" s="163"/>
      <c r="B973" s="340" t="s">
        <v>10</v>
      </c>
      <c r="C973" s="951">
        <f>CEILING(95*$Z$1,0.1)</f>
        <v>118.80000000000001</v>
      </c>
      <c r="D973" s="954"/>
      <c r="E973" s="951">
        <f>CEILING(107*$Z$1,0.1)</f>
        <v>133.8</v>
      </c>
      <c r="F973" s="954"/>
      <c r="G973" s="951">
        <f>CEILING(95*$Z$1,0.1)</f>
        <v>118.80000000000001</v>
      </c>
      <c r="H973" s="954"/>
      <c r="I973" s="6"/>
      <c r="J973" s="273"/>
      <c r="K973" s="273"/>
      <c r="L973" s="273"/>
      <c r="M973" s="273"/>
      <c r="N973" s="273"/>
      <c r="O973" s="273"/>
    </row>
    <row r="974" spans="1:15" ht="17.25" customHeight="1" thickBot="1">
      <c r="A974" s="199" t="s">
        <v>217</v>
      </c>
      <c r="B974" s="358" t="s">
        <v>15</v>
      </c>
      <c r="C974" s="967">
        <f>CEILING((C973+30*$Z$1),0.1)</f>
        <v>156.3</v>
      </c>
      <c r="D974" s="968"/>
      <c r="E974" s="967">
        <f>CEILING((E973+30*$Z$1),0.1)</f>
        <v>171.3</v>
      </c>
      <c r="F974" s="968"/>
      <c r="G974" s="967">
        <f>CEILING((G973+30*$Z$1),0.1)</f>
        <v>156.3</v>
      </c>
      <c r="H974" s="968"/>
      <c r="I974" s="6"/>
      <c r="J974" s="273"/>
      <c r="K974" s="273"/>
      <c r="L974" s="273"/>
      <c r="M974" s="273"/>
      <c r="N974" s="273"/>
      <c r="O974" s="273"/>
    </row>
    <row r="975" spans="1:15" ht="17.25" customHeight="1" thickTop="1">
      <c r="A975" s="1118" t="s">
        <v>410</v>
      </c>
      <c r="B975" s="1118"/>
      <c r="C975" s="1118"/>
      <c r="D975" s="1118"/>
      <c r="E975" s="1118"/>
      <c r="F975" s="1118"/>
      <c r="G975" s="1118"/>
      <c r="H975" s="1118"/>
      <c r="I975" s="1118"/>
      <c r="J975" s="1118"/>
      <c r="K975" s="273"/>
      <c r="L975" s="273"/>
      <c r="M975" s="273"/>
      <c r="N975" s="273"/>
      <c r="O975" s="273"/>
    </row>
    <row r="976" spans="1:15" ht="17.25" customHeight="1" thickBot="1">
      <c r="A976" s="104"/>
      <c r="B976" s="155"/>
      <c r="C976" s="68"/>
      <c r="D976" s="68"/>
      <c r="E976" s="68"/>
      <c r="F976" s="68"/>
      <c r="G976" s="68"/>
      <c r="H976" s="68"/>
      <c r="I976" s="1"/>
      <c r="J976" s="273"/>
      <c r="K976" s="273"/>
      <c r="L976" s="273"/>
      <c r="M976" s="273"/>
      <c r="N976" s="273"/>
      <c r="O976" s="273"/>
    </row>
    <row r="977" spans="1:15" ht="24.75" customHeight="1" thickTop="1">
      <c r="A977" s="697" t="s">
        <v>4</v>
      </c>
      <c r="B977" s="11"/>
      <c r="C977" s="1030" t="s">
        <v>592</v>
      </c>
      <c r="D977" s="1031"/>
      <c r="E977" s="1030" t="s">
        <v>593</v>
      </c>
      <c r="F977" s="1031"/>
      <c r="G977" s="1030" t="s">
        <v>594</v>
      </c>
      <c r="H977" s="1048"/>
      <c r="I977" s="6"/>
      <c r="J977" s="273"/>
      <c r="K977" s="273"/>
      <c r="L977" s="273"/>
      <c r="M977" s="273"/>
      <c r="N977" s="273"/>
      <c r="O977" s="273"/>
    </row>
    <row r="978" spans="1:15" ht="17.25" customHeight="1">
      <c r="A978" s="206" t="s">
        <v>191</v>
      </c>
      <c r="B978" s="355" t="s">
        <v>169</v>
      </c>
      <c r="C978" s="981">
        <f>CEILING(47*$Z$1,0.1)</f>
        <v>58.800000000000004</v>
      </c>
      <c r="D978" s="982"/>
      <c r="E978" s="981">
        <f>CEILING(55*$Z$1,0.1)</f>
        <v>68.8</v>
      </c>
      <c r="F978" s="982"/>
      <c r="G978" s="981">
        <f>CEILING(47*$Z$1,0.1)</f>
        <v>58.800000000000004</v>
      </c>
      <c r="H978" s="982"/>
      <c r="I978" s="6"/>
      <c r="J978" s="273"/>
      <c r="K978" s="273"/>
      <c r="L978" s="273"/>
      <c r="M978" s="273"/>
      <c r="N978" s="273"/>
      <c r="O978" s="273"/>
    </row>
    <row r="979" spans="1:15" ht="17.25" customHeight="1">
      <c r="A979" s="163" t="s">
        <v>18</v>
      </c>
      <c r="B979" s="344" t="s">
        <v>170</v>
      </c>
      <c r="C979" s="951">
        <f>CEILING((C978+25*$Z$1),0.1)</f>
        <v>90.10000000000001</v>
      </c>
      <c r="D979" s="952"/>
      <c r="E979" s="951">
        <f>CEILING((E978+25*$Z$1),0.1)</f>
        <v>100.10000000000001</v>
      </c>
      <c r="F979" s="952"/>
      <c r="G979" s="951">
        <f>CEILING((G978+25*$Z$1),0.1)</f>
        <v>90.10000000000001</v>
      </c>
      <c r="H979" s="952"/>
      <c r="I979" s="6"/>
      <c r="J979" s="273"/>
      <c r="K979" s="273"/>
      <c r="L979" s="273"/>
      <c r="M979" s="273"/>
      <c r="N979" s="273"/>
      <c r="O979" s="273"/>
    </row>
    <row r="980" spans="1:15" ht="17.25" customHeight="1">
      <c r="A980" s="163"/>
      <c r="B980" s="337" t="s">
        <v>69</v>
      </c>
      <c r="C980" s="951">
        <f>CEILING((C978*0.85),0.1)</f>
        <v>50</v>
      </c>
      <c r="D980" s="952"/>
      <c r="E980" s="951">
        <f>CEILING((E978*0.85),0.1)</f>
        <v>58.5</v>
      </c>
      <c r="F980" s="952"/>
      <c r="G980" s="951">
        <f>CEILING((G978*0.85),0.1)</f>
        <v>50</v>
      </c>
      <c r="H980" s="952"/>
      <c r="I980" s="6"/>
      <c r="J980" s="273"/>
      <c r="K980" s="273"/>
      <c r="L980" s="273"/>
      <c r="M980" s="273"/>
      <c r="N980" s="273"/>
      <c r="O980" s="273"/>
    </row>
    <row r="981" spans="1:15" ht="17.25" customHeight="1">
      <c r="A981" s="239"/>
      <c r="B981" s="356" t="s">
        <v>13</v>
      </c>
      <c r="C981" s="947">
        <f>CEILING(57*$Z$1,0.1)</f>
        <v>71.3</v>
      </c>
      <c r="D981" s="957"/>
      <c r="E981" s="947">
        <f>CEILING(65*$Z$1,0.1)</f>
        <v>81.30000000000001</v>
      </c>
      <c r="F981" s="957"/>
      <c r="G981" s="947">
        <f>CEILING(57*$Z$1,0.1)</f>
        <v>71.3</v>
      </c>
      <c r="H981" s="957"/>
      <c r="I981" s="6"/>
      <c r="J981" s="273"/>
      <c r="K981" s="273"/>
      <c r="L981" s="273"/>
      <c r="M981" s="273"/>
      <c r="N981" s="273"/>
      <c r="O981" s="273"/>
    </row>
    <row r="982" spans="1:15" ht="17.25" customHeight="1" thickBot="1">
      <c r="A982" s="199" t="s">
        <v>217</v>
      </c>
      <c r="B982" s="357" t="s">
        <v>62</v>
      </c>
      <c r="C982" s="958">
        <f>CEILING((C981+40*$Z$1),0.1)</f>
        <v>121.30000000000001</v>
      </c>
      <c r="D982" s="959"/>
      <c r="E982" s="958">
        <f>CEILING((E981+40*$Z$1),0.1)</f>
        <v>131.3</v>
      </c>
      <c r="F982" s="959"/>
      <c r="G982" s="958">
        <f>CEILING((G981+40*$Z$1),0.1)</f>
        <v>121.30000000000001</v>
      </c>
      <c r="H982" s="959"/>
      <c r="I982" s="6"/>
      <c r="J982" s="273"/>
      <c r="K982" s="273"/>
      <c r="L982" s="273"/>
      <c r="M982" s="273"/>
      <c r="N982" s="273"/>
      <c r="O982" s="273"/>
    </row>
    <row r="983" spans="1:15" ht="15" customHeight="1" thickTop="1">
      <c r="A983" s="1155" t="s">
        <v>532</v>
      </c>
      <c r="B983" s="1155"/>
      <c r="C983" s="1155"/>
      <c r="D983" s="1155"/>
      <c r="E983" s="1155"/>
      <c r="F983" s="1155"/>
      <c r="G983" s="1155"/>
      <c r="H983" s="1155"/>
      <c r="I983" s="1155"/>
      <c r="J983" s="1155"/>
      <c r="K983" s="273"/>
      <c r="L983" s="273"/>
      <c r="M983" s="273"/>
      <c r="N983" s="273"/>
      <c r="O983" s="273"/>
    </row>
    <row r="984" spans="1:15" ht="17.25" customHeight="1" thickBot="1">
      <c r="A984" s="371"/>
      <c r="B984" s="372"/>
      <c r="C984" s="457"/>
      <c r="D984" s="457"/>
      <c r="E984" s="457"/>
      <c r="F984" s="457"/>
      <c r="G984" s="457"/>
      <c r="H984" s="457"/>
      <c r="I984" s="7"/>
      <c r="J984" s="273"/>
      <c r="K984" s="273"/>
      <c r="L984" s="273"/>
      <c r="M984" s="273"/>
      <c r="N984" s="273"/>
      <c r="O984" s="273"/>
    </row>
    <row r="985" spans="1:15" ht="24" customHeight="1" thickTop="1">
      <c r="A985" s="697" t="s">
        <v>4</v>
      </c>
      <c r="B985" s="11"/>
      <c r="C985" s="1030" t="s">
        <v>592</v>
      </c>
      <c r="D985" s="1031"/>
      <c r="E985" s="1030" t="s">
        <v>593</v>
      </c>
      <c r="F985" s="1031"/>
      <c r="G985" s="1030" t="s">
        <v>594</v>
      </c>
      <c r="H985" s="1048"/>
      <c r="I985" s="6"/>
      <c r="J985" s="273"/>
      <c r="K985" s="273"/>
      <c r="L985" s="273"/>
      <c r="M985" s="273"/>
      <c r="N985" s="273"/>
      <c r="O985" s="273"/>
    </row>
    <row r="986" spans="1:15" ht="15">
      <c r="A986" s="99" t="s">
        <v>854</v>
      </c>
      <c r="B986" s="137" t="s">
        <v>11</v>
      </c>
      <c r="C986" s="981">
        <f>CEILING(53*$Z$1,0.1)</f>
        <v>66.3</v>
      </c>
      <c r="D986" s="982"/>
      <c r="E986" s="981">
        <f>CEILING(60*$Z$1,0.1)</f>
        <v>75</v>
      </c>
      <c r="F986" s="982"/>
      <c r="G986" s="981">
        <f>CEILING(53*$Z$1,0.1)</f>
        <v>66.3</v>
      </c>
      <c r="H986" s="982"/>
      <c r="I986" s="6"/>
      <c r="J986" s="273"/>
      <c r="K986" s="273"/>
      <c r="L986" s="273"/>
      <c r="M986" s="273"/>
      <c r="N986" s="273"/>
      <c r="O986" s="273"/>
    </row>
    <row r="987" spans="1:15" ht="14.25">
      <c r="A987" s="369" t="s">
        <v>855</v>
      </c>
      <c r="B987" s="137" t="s">
        <v>7</v>
      </c>
      <c r="C987" s="951">
        <f>CEILING(73*$Z$1,0.1)</f>
        <v>91.30000000000001</v>
      </c>
      <c r="D987" s="952"/>
      <c r="E987" s="951">
        <f>CEILING(80*$Z$1,0.1)</f>
        <v>100</v>
      </c>
      <c r="F987" s="952"/>
      <c r="G987" s="951">
        <f>CEILING(73*$Z$1,0.1)</f>
        <v>91.30000000000001</v>
      </c>
      <c r="H987" s="952"/>
      <c r="I987" s="6"/>
      <c r="J987" s="273"/>
      <c r="K987" s="273"/>
      <c r="L987" s="273"/>
      <c r="M987" s="273"/>
      <c r="N987" s="273"/>
      <c r="O987" s="273"/>
    </row>
    <row r="988" spans="1:15" ht="16.5" customHeight="1">
      <c r="A988" s="112"/>
      <c r="B988" s="114" t="s">
        <v>69</v>
      </c>
      <c r="C988" s="951">
        <f>CEILING(45*$Z$1,0.1)</f>
        <v>56.300000000000004</v>
      </c>
      <c r="D988" s="952"/>
      <c r="E988" s="951">
        <f>CEILING(51*$Z$1,0.1)</f>
        <v>63.800000000000004</v>
      </c>
      <c r="F988" s="952"/>
      <c r="G988" s="951">
        <f>CEILING(45*$Z$1,0.1)</f>
        <v>56.300000000000004</v>
      </c>
      <c r="H988" s="952"/>
      <c r="I988" s="1"/>
      <c r="J988" s="273"/>
      <c r="K988" s="273"/>
      <c r="L988" s="273"/>
      <c r="M988" s="273"/>
      <c r="N988" s="273"/>
      <c r="O988" s="273"/>
    </row>
    <row r="989" spans="1:15" ht="15.75" thickBot="1">
      <c r="A989" s="235" t="s">
        <v>393</v>
      </c>
      <c r="B989" s="366" t="s">
        <v>97</v>
      </c>
      <c r="C989" s="967">
        <f>CEILING(27*$Z$1,0.1)</f>
        <v>33.800000000000004</v>
      </c>
      <c r="D989" s="973"/>
      <c r="E989" s="967">
        <f>CEILING(30*$Z$1,0.1)</f>
        <v>37.5</v>
      </c>
      <c r="F989" s="973"/>
      <c r="G989" s="967">
        <f>CEILING(27*$Z$1,0.1)</f>
        <v>33.800000000000004</v>
      </c>
      <c r="H989" s="973"/>
      <c r="I989" s="1"/>
      <c r="J989" s="273"/>
      <c r="K989" s="273"/>
      <c r="L989" s="273"/>
      <c r="M989" s="273"/>
      <c r="N989" s="273"/>
      <c r="O989" s="273"/>
    </row>
    <row r="990" spans="1:15" ht="15" thickTop="1">
      <c r="A990" s="1083" t="s">
        <v>856</v>
      </c>
      <c r="B990" s="1083"/>
      <c r="C990" s="1083"/>
      <c r="D990" s="1083"/>
      <c r="E990" s="1083"/>
      <c r="F990" s="1083"/>
      <c r="G990" s="1083"/>
      <c r="H990" s="1083"/>
      <c r="I990" s="1083"/>
      <c r="J990" s="1083"/>
      <c r="K990" s="1083"/>
      <c r="L990" s="1083"/>
      <c r="M990" s="273"/>
      <c r="N990" s="273"/>
      <c r="O990" s="273"/>
    </row>
    <row r="991" spans="1:15" ht="20.25" customHeight="1" thickBot="1">
      <c r="A991" s="468"/>
      <c r="B991" s="469"/>
      <c r="C991" s="660"/>
      <c r="D991" s="660"/>
      <c r="E991" s="660"/>
      <c r="F991" s="660"/>
      <c r="G991" s="660"/>
      <c r="H991" s="660"/>
      <c r="I991" s="1"/>
      <c r="J991" s="273"/>
      <c r="K991" s="273"/>
      <c r="L991" s="273"/>
      <c r="M991" s="273"/>
      <c r="N991" s="273"/>
      <c r="O991" s="273"/>
    </row>
    <row r="992" spans="1:15" ht="23.25" customHeight="1" thickTop="1">
      <c r="A992" s="697" t="s">
        <v>4</v>
      </c>
      <c r="B992" s="11"/>
      <c r="C992" s="1030" t="s">
        <v>592</v>
      </c>
      <c r="D992" s="1031"/>
      <c r="E992" s="1030" t="s">
        <v>593</v>
      </c>
      <c r="F992" s="1031"/>
      <c r="G992" s="1030" t="s">
        <v>594</v>
      </c>
      <c r="H992" s="1048"/>
      <c r="I992" s="6"/>
      <c r="J992" s="273"/>
      <c r="K992" s="273"/>
      <c r="L992" s="273"/>
      <c r="M992" s="273"/>
      <c r="N992" s="273"/>
      <c r="O992" s="273"/>
    </row>
    <row r="993" spans="1:15" ht="15">
      <c r="A993" s="678" t="s">
        <v>527</v>
      </c>
      <c r="B993" s="617" t="s">
        <v>13</v>
      </c>
      <c r="C993" s="951">
        <f>CEILING(51*$Z$1,0.1)</f>
        <v>63.800000000000004</v>
      </c>
      <c r="D993" s="954"/>
      <c r="E993" s="951">
        <f>CEILING(54*$Z$1,0.1)</f>
        <v>67.5</v>
      </c>
      <c r="F993" s="954"/>
      <c r="G993" s="951">
        <f>CEILING(51*$Z$1,0.1)</f>
        <v>63.800000000000004</v>
      </c>
      <c r="H993" s="954"/>
      <c r="I993" s="6"/>
      <c r="J993" s="273"/>
      <c r="K993" s="273"/>
      <c r="L993" s="273"/>
      <c r="M993" s="273"/>
      <c r="N993" s="273"/>
      <c r="O993" s="273"/>
    </row>
    <row r="994" spans="1:15" ht="15">
      <c r="A994" s="653"/>
      <c r="B994" s="568" t="s">
        <v>62</v>
      </c>
      <c r="C994" s="951">
        <f>CEILING(63.75*$Z$1,0.1)</f>
        <v>79.7</v>
      </c>
      <c r="D994" s="952"/>
      <c r="E994" s="951">
        <f>CEILING(67.5*$Z$1,0.1)</f>
        <v>84.4</v>
      </c>
      <c r="F994" s="952"/>
      <c r="G994" s="951">
        <f>CEILING(63.75*$Z$1,0.1)</f>
        <v>79.7</v>
      </c>
      <c r="H994" s="952"/>
      <c r="I994" s="6"/>
      <c r="J994" s="273"/>
      <c r="K994" s="273"/>
      <c r="L994" s="273"/>
      <c r="M994" s="273"/>
      <c r="N994" s="273"/>
      <c r="O994" s="273"/>
    </row>
    <row r="995" spans="1:15" ht="15">
      <c r="A995" s="653" t="s">
        <v>18</v>
      </c>
      <c r="B995" s="568" t="s">
        <v>69</v>
      </c>
      <c r="C995" s="951">
        <f>CEILING((C993*0.85),0.1)</f>
        <v>54.300000000000004</v>
      </c>
      <c r="D995" s="952"/>
      <c r="E995" s="951">
        <f>CEILING((E993*0.85),0.1)</f>
        <v>57.400000000000006</v>
      </c>
      <c r="F995" s="952"/>
      <c r="G995" s="951">
        <f>CEILING((G993*0.85),0.1)</f>
        <v>54.300000000000004</v>
      </c>
      <c r="H995" s="952"/>
      <c r="I995" s="1"/>
      <c r="J995" s="273"/>
      <c r="K995" s="273"/>
      <c r="L995" s="273"/>
      <c r="M995" s="273"/>
      <c r="N995" s="273"/>
      <c r="O995" s="273"/>
    </row>
    <row r="996" spans="1:15" ht="15">
      <c r="A996" s="653"/>
      <c r="B996" s="554" t="s">
        <v>101</v>
      </c>
      <c r="C996" s="951">
        <f>CEILING((C993*0.5),0.1)</f>
        <v>31.900000000000002</v>
      </c>
      <c r="D996" s="952"/>
      <c r="E996" s="951">
        <f>CEILING((E993*0.5),0.1)</f>
        <v>33.800000000000004</v>
      </c>
      <c r="F996" s="952"/>
      <c r="G996" s="951">
        <f>CEILING((G993*0.5),0.1)</f>
        <v>31.900000000000002</v>
      </c>
      <c r="H996" s="952"/>
      <c r="I996" s="1"/>
      <c r="J996" s="273"/>
      <c r="K996" s="273"/>
      <c r="L996" s="273"/>
      <c r="M996" s="273"/>
      <c r="N996" s="273"/>
      <c r="O996" s="273"/>
    </row>
    <row r="997" spans="1:15" ht="15" thickBot="1">
      <c r="A997" s="679" t="s">
        <v>528</v>
      </c>
      <c r="B997" s="668" t="s">
        <v>14</v>
      </c>
      <c r="C997" s="958">
        <f>CEILING(81*$Z$1,0.1)</f>
        <v>101.30000000000001</v>
      </c>
      <c r="D997" s="959"/>
      <c r="E997" s="958">
        <f>CEILING(84*$Z$1,0.1)</f>
        <v>105</v>
      </c>
      <c r="F997" s="959"/>
      <c r="G997" s="958">
        <f>CEILING(81*$Z$1,0.1)</f>
        <v>101.30000000000001</v>
      </c>
      <c r="H997" s="959"/>
      <c r="I997" s="1"/>
      <c r="J997" s="273"/>
      <c r="K997" s="273"/>
      <c r="L997" s="273"/>
      <c r="M997" s="273"/>
      <c r="N997" s="273"/>
      <c r="O997" s="273"/>
    </row>
    <row r="998" spans="1:15" ht="15" thickTop="1">
      <c r="A998" s="1083" t="s">
        <v>863</v>
      </c>
      <c r="B998" s="1083"/>
      <c r="C998" s="1083"/>
      <c r="D998" s="1083"/>
      <c r="E998" s="1083"/>
      <c r="F998" s="1083"/>
      <c r="G998" s="1083"/>
      <c r="H998" s="1083"/>
      <c r="I998" s="1083"/>
      <c r="J998" s="1083"/>
      <c r="K998" s="1083"/>
      <c r="L998" s="1083"/>
      <c r="M998" s="273"/>
      <c r="N998" s="273"/>
      <c r="O998" s="273"/>
    </row>
    <row r="999" spans="1:15" ht="20.25" customHeight="1" thickBot="1">
      <c r="A999" s="468"/>
      <c r="B999" s="469"/>
      <c r="C999" s="457"/>
      <c r="D999" s="457"/>
      <c r="E999" s="457"/>
      <c r="F999" s="457"/>
      <c r="G999" s="457"/>
      <c r="H999" s="457"/>
      <c r="I999" s="1"/>
      <c r="J999" s="273"/>
      <c r="K999" s="273"/>
      <c r="L999" s="273"/>
      <c r="M999" s="273"/>
      <c r="N999" s="273"/>
      <c r="O999" s="273"/>
    </row>
    <row r="1000" spans="1:15" ht="24.75" customHeight="1" thickTop="1">
      <c r="A1000" s="697" t="s">
        <v>4</v>
      </c>
      <c r="B1000" s="11"/>
      <c r="C1000" s="1030" t="s">
        <v>592</v>
      </c>
      <c r="D1000" s="1031"/>
      <c r="E1000" s="1030" t="s">
        <v>593</v>
      </c>
      <c r="F1000" s="1031"/>
      <c r="G1000" s="1030" t="s">
        <v>594</v>
      </c>
      <c r="H1000" s="1048"/>
      <c r="I1000" s="965"/>
      <c r="J1000" s="966"/>
      <c r="K1000" s="384"/>
      <c r="L1000" s="384"/>
      <c r="M1000" s="273"/>
      <c r="N1000" s="273"/>
      <c r="O1000" s="273"/>
    </row>
    <row r="1001" spans="1:15" ht="17.25" customHeight="1">
      <c r="A1001" s="461" t="s">
        <v>398</v>
      </c>
      <c r="B1001" s="674" t="s">
        <v>401</v>
      </c>
      <c r="C1001" s="951">
        <f>CEILING(67*$Z$1,0.1)</f>
        <v>83.80000000000001</v>
      </c>
      <c r="D1001" s="954"/>
      <c r="E1001" s="951">
        <f>CEILING(71*$Z$1,0.1)</f>
        <v>88.80000000000001</v>
      </c>
      <c r="F1001" s="954"/>
      <c r="G1001" s="951">
        <f>CEILING(67*$Z$1,0.1)</f>
        <v>83.80000000000001</v>
      </c>
      <c r="H1001" s="954"/>
      <c r="I1001" s="949"/>
      <c r="J1001" s="950"/>
      <c r="K1001" s="385"/>
      <c r="L1001" s="385"/>
      <c r="M1001" s="273"/>
      <c r="N1001" s="273"/>
      <c r="O1001" s="273"/>
    </row>
    <row r="1002" spans="1:15" ht="16.5" customHeight="1">
      <c r="A1002" s="197" t="s">
        <v>6</v>
      </c>
      <c r="B1002" s="373" t="s">
        <v>399</v>
      </c>
      <c r="C1002" s="951">
        <f>CEILING((C1001+30*$Z$1),0.1)</f>
        <v>121.30000000000001</v>
      </c>
      <c r="D1002" s="952"/>
      <c r="E1002" s="951">
        <f>CEILING((E1001+30*$Z$1),0.1)</f>
        <v>126.30000000000001</v>
      </c>
      <c r="F1002" s="952"/>
      <c r="G1002" s="951">
        <f>CEILING((G1001+30*$Z$1),0.1)</f>
        <v>121.30000000000001</v>
      </c>
      <c r="H1002" s="952"/>
      <c r="I1002" s="949"/>
      <c r="J1002" s="950"/>
      <c r="K1002" s="385"/>
      <c r="L1002" s="385"/>
      <c r="M1002" s="273"/>
      <c r="N1002" s="273"/>
      <c r="O1002" s="273"/>
    </row>
    <row r="1003" spans="1:15" ht="15.75" customHeight="1">
      <c r="A1003" s="198"/>
      <c r="B1003" s="462" t="s">
        <v>400</v>
      </c>
      <c r="C1003" s="951">
        <f>CEILING(57*$Z$1,0.1)</f>
        <v>71.3</v>
      </c>
      <c r="D1003" s="952"/>
      <c r="E1003" s="951">
        <f>CEILING(60*$Z$1,0.1)</f>
        <v>75</v>
      </c>
      <c r="F1003" s="952"/>
      <c r="G1003" s="951">
        <f>CEILING(57*$Z$1,0.1)</f>
        <v>71.3</v>
      </c>
      <c r="H1003" s="952"/>
      <c r="I1003" s="949"/>
      <c r="J1003" s="950"/>
      <c r="K1003" s="385"/>
      <c r="L1003" s="385"/>
      <c r="M1003" s="273"/>
      <c r="N1003" s="273"/>
      <c r="O1003" s="273"/>
    </row>
    <row r="1004" spans="1:15" ht="15.75" customHeight="1">
      <c r="A1004" s="463"/>
      <c r="B1004" s="396" t="s">
        <v>523</v>
      </c>
      <c r="C1004" s="951">
        <v>0</v>
      </c>
      <c r="D1004" s="952"/>
      <c r="E1004" s="951">
        <v>0</v>
      </c>
      <c r="F1004" s="952"/>
      <c r="G1004" s="951">
        <v>0</v>
      </c>
      <c r="H1004" s="952"/>
      <c r="I1004" s="949"/>
      <c r="J1004" s="950"/>
      <c r="K1004" s="385"/>
      <c r="L1004" s="385"/>
      <c r="M1004" s="273"/>
      <c r="N1004" s="273"/>
      <c r="O1004" s="273"/>
    </row>
    <row r="1005" spans="1:15" ht="17.25" customHeight="1">
      <c r="A1005" s="463"/>
      <c r="B1005" s="396" t="s">
        <v>524</v>
      </c>
      <c r="C1005" s="951">
        <f>CEILING((C1001*0.5),0.1)</f>
        <v>41.900000000000006</v>
      </c>
      <c r="D1005" s="952"/>
      <c r="E1005" s="951">
        <f>CEILING((E1001*0.5),0.1)</f>
        <v>44.400000000000006</v>
      </c>
      <c r="F1005" s="952"/>
      <c r="G1005" s="951">
        <f>CEILING((G1001*0.5),0.1)</f>
        <v>41.900000000000006</v>
      </c>
      <c r="H1005" s="952"/>
      <c r="I1005" s="656"/>
      <c r="J1005" s="657"/>
      <c r="K1005" s="385"/>
      <c r="L1005" s="385"/>
      <c r="M1005" s="273"/>
      <c r="N1005" s="273"/>
      <c r="O1005" s="273"/>
    </row>
    <row r="1006" spans="1:15" ht="15.75" customHeight="1">
      <c r="A1006" s="198"/>
      <c r="B1006" s="283" t="s">
        <v>525</v>
      </c>
      <c r="C1006" s="947">
        <f>CEILING(72*$Z$1,0.1)</f>
        <v>90</v>
      </c>
      <c r="D1006" s="957"/>
      <c r="E1006" s="947">
        <f>CEILING(76*$Z$1,0.1)</f>
        <v>95</v>
      </c>
      <c r="F1006" s="957"/>
      <c r="G1006" s="947">
        <f>CEILING(72*$Z$1,0.1)</f>
        <v>90</v>
      </c>
      <c r="H1006" s="957"/>
      <c r="I1006" s="949"/>
      <c r="J1006" s="950"/>
      <c r="K1006" s="385"/>
      <c r="L1006" s="385"/>
      <c r="M1006" s="273"/>
      <c r="N1006" s="273"/>
      <c r="O1006" s="273"/>
    </row>
    <row r="1007" spans="1:15" ht="15" customHeight="1">
      <c r="A1007" s="198"/>
      <c r="B1007" s="283" t="s">
        <v>526</v>
      </c>
      <c r="C1007" s="947">
        <f>CEILING((C1006+30*$Z$1),0.1)</f>
        <v>127.5</v>
      </c>
      <c r="D1007" s="957"/>
      <c r="E1007" s="947">
        <f>CEILING((E1006+30*$Z$1),0.1)</f>
        <v>132.5</v>
      </c>
      <c r="F1007" s="957"/>
      <c r="G1007" s="947">
        <f>CEILING((G1006+30*$Z$1),0.1)</f>
        <v>127.5</v>
      </c>
      <c r="H1007" s="957"/>
      <c r="I1007" s="949"/>
      <c r="J1007" s="950"/>
      <c r="K1007" s="385"/>
      <c r="L1007" s="385"/>
      <c r="M1007" s="273"/>
      <c r="N1007" s="273"/>
      <c r="O1007" s="273"/>
    </row>
    <row r="1008" spans="1:15" ht="17.25" customHeight="1" thickBot="1">
      <c r="A1008" s="359" t="s">
        <v>864</v>
      </c>
      <c r="B1008" s="284" t="s">
        <v>865</v>
      </c>
      <c r="C1008" s="947">
        <f>CEILING(870*$Z$1,0.1)</f>
        <v>1087.5</v>
      </c>
      <c r="D1008" s="957"/>
      <c r="E1008" s="947">
        <f>CEILING(900*$Z$1,0.1)</f>
        <v>1125</v>
      </c>
      <c r="F1008" s="957"/>
      <c r="G1008" s="947">
        <f>CEILING(870*$Z$1,0.1)</f>
        <v>1087.5</v>
      </c>
      <c r="H1008" s="957"/>
      <c r="I1008" s="949"/>
      <c r="J1008" s="950"/>
      <c r="K1008" s="385"/>
      <c r="L1008" s="385"/>
      <c r="M1008" s="273"/>
      <c r="N1008" s="273"/>
      <c r="O1008" s="273"/>
    </row>
    <row r="1009" spans="1:15" ht="21.75" customHeight="1" thickBot="1" thickTop="1">
      <c r="A1009" s="516"/>
      <c r="B1009" s="693"/>
      <c r="C1009" s="694"/>
      <c r="D1009" s="694"/>
      <c r="E1009" s="694"/>
      <c r="F1009" s="694"/>
      <c r="G1009" s="694"/>
      <c r="H1009" s="694"/>
      <c r="I1009" s="662"/>
      <c r="J1009" s="662"/>
      <c r="K1009" s="385"/>
      <c r="L1009" s="385"/>
      <c r="M1009" s="273"/>
      <c r="N1009" s="273"/>
      <c r="O1009" s="273"/>
    </row>
    <row r="1010" spans="1:15" ht="22.5" customHeight="1" thickTop="1">
      <c r="A1010" s="697" t="s">
        <v>4</v>
      </c>
      <c r="B1010" s="11"/>
      <c r="C1010" s="1030" t="s">
        <v>592</v>
      </c>
      <c r="D1010" s="1031"/>
      <c r="E1010" s="1030" t="s">
        <v>593</v>
      </c>
      <c r="F1010" s="1031"/>
      <c r="G1010" s="1030" t="s">
        <v>594</v>
      </c>
      <c r="H1010" s="1048"/>
      <c r="I1010" s="661"/>
      <c r="J1010" s="662"/>
      <c r="K1010" s="385"/>
      <c r="L1010" s="385"/>
      <c r="M1010" s="273"/>
      <c r="N1010" s="273"/>
      <c r="O1010" s="273"/>
    </row>
    <row r="1011" spans="1:15" ht="16.5" customHeight="1">
      <c r="A1011" s="678" t="s">
        <v>853</v>
      </c>
      <c r="B1011" s="617" t="s">
        <v>11</v>
      </c>
      <c r="C1011" s="981">
        <f>CEILING(45*$Z$1,0.1)</f>
        <v>56.300000000000004</v>
      </c>
      <c r="D1011" s="982"/>
      <c r="E1011" s="981">
        <f>CEILING(52*$Z$1,0.1)</f>
        <v>65</v>
      </c>
      <c r="F1011" s="982"/>
      <c r="G1011" s="981">
        <f>CEILING(45*$Z$1,0.1)</f>
        <v>56.300000000000004</v>
      </c>
      <c r="H1011" s="982"/>
      <c r="I1011" s="661"/>
      <c r="J1011" s="662"/>
      <c r="K1011" s="385"/>
      <c r="L1011" s="385"/>
      <c r="M1011" s="273"/>
      <c r="N1011" s="273"/>
      <c r="O1011" s="273"/>
    </row>
    <row r="1012" spans="1:15" ht="18.75" customHeight="1">
      <c r="A1012" s="653" t="s">
        <v>18</v>
      </c>
      <c r="B1012" s="568" t="s">
        <v>7</v>
      </c>
      <c r="C1012" s="951">
        <f>CEILING(60*$Z$1,0.1)</f>
        <v>75</v>
      </c>
      <c r="D1012" s="952"/>
      <c r="E1012" s="951">
        <f>CEILING(67*$Z$1,0.1)</f>
        <v>83.80000000000001</v>
      </c>
      <c r="F1012" s="952"/>
      <c r="G1012" s="951">
        <f>CEILING(60*$Z$1,0.1)</f>
        <v>75</v>
      </c>
      <c r="H1012" s="952"/>
      <c r="I1012" s="661"/>
      <c r="J1012" s="662"/>
      <c r="K1012" s="385"/>
      <c r="L1012" s="385"/>
      <c r="M1012" s="273"/>
      <c r="N1012" s="273"/>
      <c r="O1012" s="273"/>
    </row>
    <row r="1013" spans="1:15" ht="18.75" customHeight="1">
      <c r="A1013" s="655"/>
      <c r="B1013" s="568" t="s">
        <v>69</v>
      </c>
      <c r="C1013" s="951">
        <f>CEILING(38*$Z$1,0.1)</f>
        <v>47.5</v>
      </c>
      <c r="D1013" s="952"/>
      <c r="E1013" s="951">
        <f>CEILING(44*$Z$1,0.1)</f>
        <v>55</v>
      </c>
      <c r="F1013" s="952"/>
      <c r="G1013" s="951">
        <f>CEILING(38*$Z$1,0.1)</f>
        <v>47.5</v>
      </c>
      <c r="H1013" s="952"/>
      <c r="I1013" s="661"/>
      <c r="J1013" s="662"/>
      <c r="K1013" s="385"/>
      <c r="L1013" s="385"/>
      <c r="M1013" s="273"/>
      <c r="N1013" s="273"/>
      <c r="O1013" s="273"/>
    </row>
    <row r="1014" spans="1:15" ht="18.75" customHeight="1" thickBot="1">
      <c r="A1014" s="526" t="s">
        <v>472</v>
      </c>
      <c r="B1014" s="649" t="s">
        <v>101</v>
      </c>
      <c r="C1014" s="958">
        <v>0</v>
      </c>
      <c r="D1014" s="959"/>
      <c r="E1014" s="958">
        <v>0</v>
      </c>
      <c r="F1014" s="959"/>
      <c r="G1014" s="958">
        <v>0</v>
      </c>
      <c r="H1014" s="959"/>
      <c r="I1014" s="661"/>
      <c r="J1014" s="662"/>
      <c r="K1014" s="385"/>
      <c r="L1014" s="385"/>
      <c r="M1014" s="273"/>
      <c r="N1014" s="273"/>
      <c r="O1014" s="273"/>
    </row>
    <row r="1015" spans="1:15" ht="19.5" customHeight="1" thickTop="1">
      <c r="A1015" s="536"/>
      <c r="B1015" s="465"/>
      <c r="C1015" s="465"/>
      <c r="D1015" s="465"/>
      <c r="E1015" s="465"/>
      <c r="F1015" s="465"/>
      <c r="G1015" s="465"/>
      <c r="H1015" s="465"/>
      <c r="I1015" s="466"/>
      <c r="J1015" s="466"/>
      <c r="K1015" s="467"/>
      <c r="L1015" s="467"/>
      <c r="M1015" s="273"/>
      <c r="N1015" s="273"/>
      <c r="O1015" s="273"/>
    </row>
    <row r="1016" spans="1:15" ht="18" customHeight="1">
      <c r="A1016" s="1045" t="s">
        <v>689</v>
      </c>
      <c r="B1016" s="1045"/>
      <c r="C1016" s="1045"/>
      <c r="D1016" s="1045"/>
      <c r="E1016" s="1045"/>
      <c r="F1016" s="1045"/>
      <c r="G1016" s="1045"/>
      <c r="H1016" s="1045"/>
      <c r="I1016" s="1012"/>
      <c r="J1016" s="1012"/>
      <c r="K1016" s="467"/>
      <c r="L1016" s="467"/>
      <c r="M1016" s="273"/>
      <c r="N1016" s="273"/>
      <c r="O1016" s="273"/>
    </row>
    <row r="1017" spans="1:15" ht="21" customHeight="1">
      <c r="A1017" s="1010" t="s">
        <v>690</v>
      </c>
      <c r="B1017" s="1010"/>
      <c r="C1017" s="1010"/>
      <c r="D1017" s="1010"/>
      <c r="E1017" s="1010"/>
      <c r="F1017" s="1010"/>
      <c r="G1017" s="1010"/>
      <c r="H1017" s="1010"/>
      <c r="I1017" s="1010"/>
      <c r="J1017" s="1010"/>
      <c r="K1017" s="467"/>
      <c r="L1017" s="467"/>
      <c r="M1017" s="273"/>
      <c r="N1017" s="273"/>
      <c r="O1017" s="273"/>
    </row>
    <row r="1018" spans="1:15" ht="19.5" customHeight="1">
      <c r="A1018" s="1011" t="s">
        <v>767</v>
      </c>
      <c r="B1018" s="1011"/>
      <c r="C1018" s="1011"/>
      <c r="D1018" s="1011"/>
      <c r="E1018" s="1011"/>
      <c r="F1018" s="1011"/>
      <c r="G1018" s="1011"/>
      <c r="H1018" s="1011"/>
      <c r="I1018" s="1012"/>
      <c r="J1018" s="1012"/>
      <c r="K1018" s="467"/>
      <c r="L1018" s="467"/>
      <c r="M1018" s="273"/>
      <c r="N1018" s="273"/>
      <c r="O1018" s="273"/>
    </row>
    <row r="1019" spans="1:15" ht="19.5" customHeight="1">
      <c r="A1019" s="1011" t="s">
        <v>768</v>
      </c>
      <c r="B1019" s="1011"/>
      <c r="C1019" s="1011"/>
      <c r="D1019" s="1011"/>
      <c r="E1019" s="1011"/>
      <c r="F1019" s="1011"/>
      <c r="G1019" s="1011"/>
      <c r="H1019" s="1011"/>
      <c r="I1019" s="1012"/>
      <c r="J1019" s="1012"/>
      <c r="K1019" s="467"/>
      <c r="L1019" s="467"/>
      <c r="M1019" s="273"/>
      <c r="N1019" s="273"/>
      <c r="O1019" s="273"/>
    </row>
    <row r="1020" spans="1:15" ht="14.25" customHeight="1">
      <c r="A1020" s="365"/>
      <c r="B1020" s="460"/>
      <c r="C1020" s="456"/>
      <c r="D1020" s="456"/>
      <c r="E1020" s="456"/>
      <c r="F1020" s="456"/>
      <c r="G1020" s="456"/>
      <c r="H1020" s="456"/>
      <c r="I1020" s="1"/>
      <c r="J1020" s="273"/>
      <c r="K1020" s="273"/>
      <c r="L1020" s="273"/>
      <c r="M1020" s="273"/>
      <c r="N1020" s="273"/>
      <c r="O1020" s="273"/>
    </row>
    <row r="1021" spans="1:15" ht="14.25" customHeight="1">
      <c r="A1021" s="29"/>
      <c r="B1021" s="103"/>
      <c r="C1021" s="45"/>
      <c r="D1021" s="45"/>
      <c r="E1021" s="45"/>
      <c r="F1021" s="45"/>
      <c r="G1021" s="45"/>
      <c r="H1021" s="45"/>
      <c r="I1021" s="1"/>
      <c r="J1021" s="273"/>
      <c r="K1021" s="273"/>
      <c r="L1021" s="273"/>
      <c r="M1021" s="273"/>
      <c r="N1021" s="273"/>
      <c r="O1021" s="273"/>
    </row>
    <row r="1022" spans="1:15" ht="19.5" customHeight="1">
      <c r="A1022" s="1084" t="s">
        <v>160</v>
      </c>
      <c r="B1022" s="1084"/>
      <c r="C1022" s="1084"/>
      <c r="D1022" s="1084"/>
      <c r="E1022" s="1084"/>
      <c r="F1022" s="1084"/>
      <c r="G1022" s="1084"/>
      <c r="H1022" s="1084"/>
      <c r="I1022" s="2"/>
      <c r="J1022" s="273"/>
      <c r="K1022" s="273"/>
      <c r="L1022" s="273"/>
      <c r="M1022" s="273"/>
      <c r="N1022" s="273"/>
      <c r="O1022" s="273"/>
    </row>
    <row r="1023" spans="1:15" ht="14.25" customHeight="1" thickBot="1">
      <c r="A1023" s="1157"/>
      <c r="B1023" s="1157"/>
      <c r="C1023" s="1157"/>
      <c r="D1023" s="1157"/>
      <c r="E1023" s="1157"/>
      <c r="F1023" s="1157"/>
      <c r="G1023" s="1157"/>
      <c r="H1023" s="1157"/>
      <c r="I1023" s="2"/>
      <c r="J1023" s="273"/>
      <c r="K1023" s="273"/>
      <c r="L1023" s="273"/>
      <c r="M1023" s="273"/>
      <c r="N1023" s="273"/>
      <c r="O1023" s="273"/>
    </row>
    <row r="1024" spans="1:15" ht="22.5" customHeight="1" thickTop="1">
      <c r="A1024" s="697" t="s">
        <v>4</v>
      </c>
      <c r="B1024" s="32"/>
      <c r="C1024" s="945" t="s">
        <v>592</v>
      </c>
      <c r="D1024" s="946"/>
      <c r="E1024" s="945" t="s">
        <v>593</v>
      </c>
      <c r="F1024" s="946"/>
      <c r="G1024" s="945" t="s">
        <v>594</v>
      </c>
      <c r="H1024" s="964"/>
      <c r="I1024" s="111"/>
      <c r="J1024" s="273"/>
      <c r="K1024" s="273"/>
      <c r="L1024" s="273"/>
      <c r="M1024" s="273"/>
      <c r="N1024" s="273"/>
      <c r="O1024" s="273"/>
    </row>
    <row r="1025" spans="1:15" ht="17.25" customHeight="1">
      <c r="A1025" s="18" t="s">
        <v>28</v>
      </c>
      <c r="B1025" s="617" t="s">
        <v>285</v>
      </c>
      <c r="C1025" s="981">
        <f>CEILING(55*$Z$1,0.1)</f>
        <v>68.8</v>
      </c>
      <c r="D1025" s="982"/>
      <c r="E1025" s="981">
        <f>CEILING(60*$Z$1,0.1)</f>
        <v>75</v>
      </c>
      <c r="F1025" s="982"/>
      <c r="G1025" s="981">
        <f>CEILING(55*$Z$1,0.1)</f>
        <v>68.8</v>
      </c>
      <c r="H1025" s="982"/>
      <c r="I1025" s="110"/>
      <c r="J1025" s="273"/>
      <c r="K1025" s="273"/>
      <c r="L1025" s="273"/>
      <c r="M1025" s="273"/>
      <c r="N1025" s="273"/>
      <c r="O1025" s="273"/>
    </row>
    <row r="1026" spans="1:15" ht="18" customHeight="1">
      <c r="A1026" s="21" t="s">
        <v>6</v>
      </c>
      <c r="B1026" s="568" t="s">
        <v>286</v>
      </c>
      <c r="C1026" s="951">
        <f>CEILING((C1025+30*$Z$1),0.1)</f>
        <v>106.30000000000001</v>
      </c>
      <c r="D1026" s="952"/>
      <c r="E1026" s="951">
        <f>CEILING((E1025+30*$Z$1),0.1)</f>
        <v>112.5</v>
      </c>
      <c r="F1026" s="952"/>
      <c r="G1026" s="951">
        <f>CEILING((G1025+30*$Z$1),0.1)</f>
        <v>106.30000000000001</v>
      </c>
      <c r="H1026" s="952"/>
      <c r="I1026" s="110"/>
      <c r="J1026" s="273"/>
      <c r="K1026" s="273"/>
      <c r="L1026" s="273"/>
      <c r="M1026" s="273"/>
      <c r="N1026" s="273"/>
      <c r="O1026" s="273"/>
    </row>
    <row r="1027" spans="1:15" ht="18" customHeight="1">
      <c r="A1027" s="21"/>
      <c r="B1027" s="568" t="s">
        <v>69</v>
      </c>
      <c r="C1027" s="951">
        <f>CEILING((C1025*0.85),0.1)</f>
        <v>58.5</v>
      </c>
      <c r="D1027" s="952"/>
      <c r="E1027" s="951">
        <f>CEILING((E1025*0.85),0.1)</f>
        <v>63.800000000000004</v>
      </c>
      <c r="F1027" s="952"/>
      <c r="G1027" s="951">
        <f>CEILING((G1025*0.85),0.1)</f>
        <v>58.5</v>
      </c>
      <c r="H1027" s="952"/>
      <c r="I1027" s="110"/>
      <c r="J1027" s="273"/>
      <c r="K1027" s="273"/>
      <c r="L1027" s="273"/>
      <c r="M1027" s="273"/>
      <c r="N1027" s="273"/>
      <c r="O1027" s="273"/>
    </row>
    <row r="1028" spans="1:15" ht="18" customHeight="1">
      <c r="A1028" s="309"/>
      <c r="B1028" s="626" t="s">
        <v>101</v>
      </c>
      <c r="C1028" s="951">
        <v>0</v>
      </c>
      <c r="D1028" s="952"/>
      <c r="E1028" s="951">
        <v>0</v>
      </c>
      <c r="F1028" s="952"/>
      <c r="G1028" s="951">
        <v>0</v>
      </c>
      <c r="H1028" s="952"/>
      <c r="I1028" s="110"/>
      <c r="J1028" s="273"/>
      <c r="K1028" s="273"/>
      <c r="L1028" s="273"/>
      <c r="M1028" s="273"/>
      <c r="N1028" s="273"/>
      <c r="O1028" s="273"/>
    </row>
    <row r="1029" spans="1:15" ht="18" customHeight="1">
      <c r="A1029" s="309"/>
      <c r="B1029" s="22" t="s">
        <v>880</v>
      </c>
      <c r="C1029" s="951">
        <f>CEILING(70*$Z$1,0.1)</f>
        <v>87.5</v>
      </c>
      <c r="D1029" s="954"/>
      <c r="E1029" s="951">
        <f>CEILING(75*$Z$1,0.1)</f>
        <v>93.80000000000001</v>
      </c>
      <c r="F1029" s="954"/>
      <c r="G1029" s="951">
        <f>CEILING(70*$Z$1,0.1)</f>
        <v>87.5</v>
      </c>
      <c r="H1029" s="954"/>
      <c r="I1029" s="110"/>
      <c r="J1029" s="273"/>
      <c r="K1029" s="273"/>
      <c r="L1029" s="273"/>
      <c r="M1029" s="273"/>
      <c r="N1029" s="273"/>
      <c r="O1029" s="273"/>
    </row>
    <row r="1030" spans="1:15" ht="18" customHeight="1" thickBot="1">
      <c r="A1030" s="378" t="s">
        <v>326</v>
      </c>
      <c r="B1030" s="28" t="s">
        <v>879</v>
      </c>
      <c r="C1030" s="967">
        <f>CEILING((C1029+30*$Z$1),0.1)</f>
        <v>125</v>
      </c>
      <c r="D1030" s="968"/>
      <c r="E1030" s="967">
        <f>CEILING((E1029+30*$Z$1),0.1)</f>
        <v>131.3</v>
      </c>
      <c r="F1030" s="968"/>
      <c r="G1030" s="967">
        <f>CEILING((G1029+30*$Z$1),0.1)</f>
        <v>125</v>
      </c>
      <c r="H1030" s="968"/>
      <c r="I1030" s="110"/>
      <c r="J1030" s="273"/>
      <c r="K1030" s="273"/>
      <c r="L1030" s="273"/>
      <c r="M1030" s="273"/>
      <c r="N1030" s="273"/>
      <c r="O1030" s="273"/>
    </row>
    <row r="1031" spans="1:15" ht="17.25" customHeight="1" thickTop="1">
      <c r="A1031" s="544" t="s">
        <v>881</v>
      </c>
      <c r="B1031" s="666"/>
      <c r="C1031" s="666"/>
      <c r="D1031" s="666"/>
      <c r="E1031" s="666"/>
      <c r="F1031" s="666"/>
      <c r="G1031" s="666"/>
      <c r="H1031" s="666"/>
      <c r="I1031" s="109"/>
      <c r="J1031" s="273"/>
      <c r="K1031" s="273"/>
      <c r="L1031" s="273"/>
      <c r="M1031" s="273"/>
      <c r="N1031" s="273"/>
      <c r="O1031" s="273"/>
    </row>
    <row r="1032" spans="1:15" ht="14.25" customHeight="1">
      <c r="A1032" s="1049" t="s">
        <v>561</v>
      </c>
      <c r="B1032" s="1050"/>
      <c r="C1032" s="1050"/>
      <c r="D1032" s="1050"/>
      <c r="E1032" s="1050"/>
      <c r="F1032" s="1050"/>
      <c r="G1032" s="1050"/>
      <c r="H1032" s="1050"/>
      <c r="I1032" s="109"/>
      <c r="J1032" s="273"/>
      <c r="K1032" s="273"/>
      <c r="L1032" s="273"/>
      <c r="M1032" s="273"/>
      <c r="N1032" s="273"/>
      <c r="O1032" s="273"/>
    </row>
    <row r="1033" spans="1:15" ht="20.25" customHeight="1" thickBot="1">
      <c r="A1033" s="1094"/>
      <c r="B1033" s="1094"/>
      <c r="C1033" s="1094"/>
      <c r="D1033" s="1094"/>
      <c r="E1033" s="1094"/>
      <c r="F1033" s="1094"/>
      <c r="G1033" s="1094"/>
      <c r="H1033" s="1094"/>
      <c r="I1033" s="109"/>
      <c r="J1033" s="273"/>
      <c r="K1033" s="273"/>
      <c r="L1033" s="273"/>
      <c r="M1033" s="273"/>
      <c r="N1033" s="273"/>
      <c r="O1033" s="273"/>
    </row>
    <row r="1034" spans="1:15" ht="24.75" customHeight="1" thickTop="1">
      <c r="A1034" s="697" t="s">
        <v>4</v>
      </c>
      <c r="B1034" s="32"/>
      <c r="C1034" s="945" t="s">
        <v>592</v>
      </c>
      <c r="D1034" s="946"/>
      <c r="E1034" s="945" t="s">
        <v>593</v>
      </c>
      <c r="F1034" s="946"/>
      <c r="G1034" s="945" t="s">
        <v>594</v>
      </c>
      <c r="H1034" s="964"/>
      <c r="I1034" s="111"/>
      <c r="J1034" s="273"/>
      <c r="K1034" s="273"/>
      <c r="L1034" s="273"/>
      <c r="M1034" s="273"/>
      <c r="N1034" s="273"/>
      <c r="O1034" s="273"/>
    </row>
    <row r="1035" spans="1:15" ht="16.5" customHeight="1">
      <c r="A1035" s="18" t="s">
        <v>29</v>
      </c>
      <c r="B1035" s="225" t="s">
        <v>11</v>
      </c>
      <c r="C1035" s="981">
        <f>CEILING(45*$Z$1,0.1)</f>
        <v>56.300000000000004</v>
      </c>
      <c r="D1035" s="982"/>
      <c r="E1035" s="981">
        <f>CEILING(50*$Z$1,0.1)</f>
        <v>62.5</v>
      </c>
      <c r="F1035" s="982"/>
      <c r="G1035" s="981">
        <f>CEILING(45*$Z$1,0.1)</f>
        <v>56.300000000000004</v>
      </c>
      <c r="H1035" s="982"/>
      <c r="I1035" s="6"/>
      <c r="J1035" s="273"/>
      <c r="K1035" s="273"/>
      <c r="L1035" s="273"/>
      <c r="M1035" s="273"/>
      <c r="N1035" s="273"/>
      <c r="O1035" s="273"/>
    </row>
    <row r="1036" spans="1:15" ht="17.25" customHeight="1">
      <c r="A1036" s="18"/>
      <c r="B1036" s="139" t="s">
        <v>7</v>
      </c>
      <c r="C1036" s="951">
        <f>CEILING((C1035+20*$Z$1),0.1)</f>
        <v>81.30000000000001</v>
      </c>
      <c r="D1036" s="952"/>
      <c r="E1036" s="951">
        <f>CEILING((E1035+20*$Z$1),0.1)</f>
        <v>87.5</v>
      </c>
      <c r="F1036" s="952"/>
      <c r="G1036" s="951">
        <f>CEILING((G1035+20*$Z$1),0.1)</f>
        <v>81.30000000000001</v>
      </c>
      <c r="H1036" s="952"/>
      <c r="I1036" s="6"/>
      <c r="J1036" s="273"/>
      <c r="K1036" s="273"/>
      <c r="L1036" s="273"/>
      <c r="M1036" s="273"/>
      <c r="N1036" s="273"/>
      <c r="O1036" s="273"/>
    </row>
    <row r="1037" spans="1:15" ht="16.5" customHeight="1">
      <c r="A1037" s="21" t="s">
        <v>18</v>
      </c>
      <c r="B1037" s="139" t="s">
        <v>69</v>
      </c>
      <c r="C1037" s="951">
        <f>CEILING((C1035*0.85),0.1)</f>
        <v>47.900000000000006</v>
      </c>
      <c r="D1037" s="952"/>
      <c r="E1037" s="951">
        <f>CEILING((E1035*0.85),0.1)</f>
        <v>53.2</v>
      </c>
      <c r="F1037" s="952"/>
      <c r="G1037" s="951">
        <f>CEILING((G1035*0.85),0.1)</f>
        <v>47.900000000000006</v>
      </c>
      <c r="H1037" s="952"/>
      <c r="I1037" s="6"/>
      <c r="J1037" s="273"/>
      <c r="K1037" s="273"/>
      <c r="L1037" s="273"/>
      <c r="M1037" s="375"/>
      <c r="N1037" s="375"/>
      <c r="O1037" s="273"/>
    </row>
    <row r="1038" spans="1:15" ht="14.25" customHeight="1">
      <c r="A1038" s="186"/>
      <c r="B1038" s="24" t="s">
        <v>239</v>
      </c>
      <c r="C1038" s="951">
        <v>0</v>
      </c>
      <c r="D1038" s="952"/>
      <c r="E1038" s="951">
        <v>0</v>
      </c>
      <c r="F1038" s="952"/>
      <c r="G1038" s="951">
        <v>0</v>
      </c>
      <c r="H1038" s="952"/>
      <c r="I1038" s="6"/>
      <c r="J1038" s="273"/>
      <c r="K1038" s="273"/>
      <c r="L1038" s="273"/>
      <c r="M1038" s="375"/>
      <c r="N1038" s="375"/>
      <c r="O1038" s="273"/>
    </row>
    <row r="1039" spans="1:15" ht="16.5" customHeight="1">
      <c r="A1039" s="186"/>
      <c r="B1039" s="22" t="s">
        <v>74</v>
      </c>
      <c r="C1039" s="951">
        <f>CEILING(57*$Z$1,0.1)</f>
        <v>71.3</v>
      </c>
      <c r="D1039" s="954"/>
      <c r="E1039" s="951">
        <f>CEILING(62*$Z$1,0.1)</f>
        <v>77.5</v>
      </c>
      <c r="F1039" s="954"/>
      <c r="G1039" s="951">
        <f>CEILING(57*$Z$1,0.1)</f>
        <v>71.3</v>
      </c>
      <c r="H1039" s="954"/>
      <c r="I1039" s="6"/>
      <c r="J1039" s="273"/>
      <c r="K1039" s="273"/>
      <c r="L1039" s="273"/>
      <c r="M1039" s="375"/>
      <c r="N1039" s="375"/>
      <c r="O1039" s="273"/>
    </row>
    <row r="1040" spans="1:15" ht="17.25" customHeight="1">
      <c r="A1040" s="186"/>
      <c r="B1040" s="22" t="s">
        <v>75</v>
      </c>
      <c r="C1040" s="951">
        <f>CEILING((C1039+20*$Z$1),0.1)</f>
        <v>96.30000000000001</v>
      </c>
      <c r="D1040" s="954"/>
      <c r="E1040" s="951">
        <f>CEILING((E1039+20*$Z$1),0.1)</f>
        <v>102.5</v>
      </c>
      <c r="F1040" s="954"/>
      <c r="G1040" s="951">
        <f>CEILING((G1039+20*$Z$1),0.1)</f>
        <v>96.30000000000001</v>
      </c>
      <c r="H1040" s="954"/>
      <c r="I1040" s="6"/>
      <c r="J1040" s="273"/>
      <c r="K1040" s="273"/>
      <c r="L1040" s="273"/>
      <c r="M1040" s="375"/>
      <c r="N1040" s="375"/>
      <c r="O1040" s="273"/>
    </row>
    <row r="1041" spans="1:15" ht="16.5" customHeight="1">
      <c r="A1041" s="186"/>
      <c r="B1041" s="22" t="s">
        <v>299</v>
      </c>
      <c r="C1041" s="951">
        <f>CEILING(60*$Z$1,0.1)</f>
        <v>75</v>
      </c>
      <c r="D1041" s="954"/>
      <c r="E1041" s="951">
        <f>CEILING(65*$Z$1,0.1)</f>
        <v>81.30000000000001</v>
      </c>
      <c r="F1041" s="954"/>
      <c r="G1041" s="951">
        <f>CEILING(60*$Z$1,0.1)</f>
        <v>75</v>
      </c>
      <c r="H1041" s="954"/>
      <c r="I1041" s="6"/>
      <c r="J1041" s="273"/>
      <c r="K1041" s="273"/>
      <c r="L1041" s="273"/>
      <c r="M1041" s="375"/>
      <c r="N1041" s="375"/>
      <c r="O1041" s="273"/>
    </row>
    <row r="1042" spans="1:15" ht="15.75" customHeight="1" thickBot="1">
      <c r="A1042" s="378" t="s">
        <v>326</v>
      </c>
      <c r="B1042" s="28" t="s">
        <v>300</v>
      </c>
      <c r="C1042" s="967">
        <f>CEILING((C1041+20*$Z$1),0.1)</f>
        <v>100</v>
      </c>
      <c r="D1042" s="968"/>
      <c r="E1042" s="967">
        <f>CEILING((E1041+20*$Z$1),0.1)</f>
        <v>106.30000000000001</v>
      </c>
      <c r="F1042" s="968"/>
      <c r="G1042" s="967">
        <f>CEILING((G1041+20*$Z$1),0.1)</f>
        <v>100</v>
      </c>
      <c r="H1042" s="968"/>
      <c r="I1042" s="6"/>
      <c r="J1042" s="273"/>
      <c r="K1042" s="273"/>
      <c r="L1042" s="273"/>
      <c r="M1042" s="375"/>
      <c r="N1042" s="375"/>
      <c r="O1042" s="273"/>
    </row>
    <row r="1043" spans="1:15" ht="15.75" customHeight="1" thickTop="1">
      <c r="A1043" s="1083" t="s">
        <v>251</v>
      </c>
      <c r="B1043" s="1083"/>
      <c r="C1043" s="1083"/>
      <c r="D1043" s="1083"/>
      <c r="E1043" s="1083"/>
      <c r="F1043" s="1083"/>
      <c r="G1043" s="1083"/>
      <c r="H1043" s="1083"/>
      <c r="I1043" s="1083"/>
      <c r="J1043" s="1083"/>
      <c r="K1043" s="273"/>
      <c r="L1043" s="273"/>
      <c r="M1043" s="375"/>
      <c r="N1043" s="375"/>
      <c r="O1043" s="273"/>
    </row>
    <row r="1044" spans="1:15" ht="16.5" customHeight="1">
      <c r="A1044" s="544" t="s">
        <v>540</v>
      </c>
      <c r="B1044" s="666"/>
      <c r="C1044" s="666"/>
      <c r="D1044" s="666"/>
      <c r="E1044" s="666"/>
      <c r="F1044" s="666"/>
      <c r="G1044" s="666"/>
      <c r="H1044" s="666"/>
      <c r="I1044" s="665"/>
      <c r="J1044" s="665"/>
      <c r="K1044" s="273"/>
      <c r="L1044" s="273"/>
      <c r="M1044" s="375"/>
      <c r="N1044" s="375"/>
      <c r="O1044" s="273"/>
    </row>
    <row r="1045" spans="1:15" ht="16.5" customHeight="1">
      <c r="A1045" s="1049" t="s">
        <v>561</v>
      </c>
      <c r="B1045" s="1050"/>
      <c r="C1045" s="1050"/>
      <c r="D1045" s="1050"/>
      <c r="E1045" s="1050"/>
      <c r="F1045" s="1050"/>
      <c r="G1045" s="1050"/>
      <c r="H1045" s="1050"/>
      <c r="I1045" s="702"/>
      <c r="J1045" s="702"/>
      <c r="K1045" s="273"/>
      <c r="L1045" s="273"/>
      <c r="M1045" s="375"/>
      <c r="N1045" s="375"/>
      <c r="O1045" s="273"/>
    </row>
    <row r="1046" spans="1:15" ht="20.25" customHeight="1" thickBot="1">
      <c r="A1046" s="473"/>
      <c r="B1046" s="473"/>
      <c r="C1046" s="473"/>
      <c r="D1046" s="473"/>
      <c r="E1046" s="473"/>
      <c r="F1046" s="473"/>
      <c r="G1046" s="473"/>
      <c r="H1046" s="473"/>
      <c r="I1046" s="455"/>
      <c r="J1046" s="455"/>
      <c r="K1046" s="273"/>
      <c r="L1046" s="273"/>
      <c r="M1046" s="375"/>
      <c r="N1046" s="375"/>
      <c r="O1046" s="273"/>
    </row>
    <row r="1047" spans="1:15" ht="25.5" customHeight="1" thickTop="1">
      <c r="A1047" s="5" t="s">
        <v>4</v>
      </c>
      <c r="B1047" s="11"/>
      <c r="C1047" s="945" t="s">
        <v>592</v>
      </c>
      <c r="D1047" s="946"/>
      <c r="E1047" s="945" t="s">
        <v>593</v>
      </c>
      <c r="F1047" s="946"/>
      <c r="G1047" s="945" t="s">
        <v>594</v>
      </c>
      <c r="H1047" s="964"/>
      <c r="I1047" s="965"/>
      <c r="J1047" s="966"/>
      <c r="K1047" s="273"/>
      <c r="L1047" s="273"/>
      <c r="M1047" s="375"/>
      <c r="N1047" s="375"/>
      <c r="O1047" s="273"/>
    </row>
    <row r="1048" spans="1:15" ht="16.5" customHeight="1">
      <c r="A1048" s="196" t="s">
        <v>403</v>
      </c>
      <c r="B1048" s="361" t="s">
        <v>11</v>
      </c>
      <c r="C1048" s="955">
        <f>CEILING(60*$Z$1,0.1)</f>
        <v>75</v>
      </c>
      <c r="D1048" s="960"/>
      <c r="E1048" s="955">
        <f>CEILING(71*$Z$1,0.1)</f>
        <v>88.80000000000001</v>
      </c>
      <c r="F1048" s="960"/>
      <c r="G1048" s="955">
        <f>CEILING(60*$Z$1,0.1)</f>
        <v>75</v>
      </c>
      <c r="H1048" s="960"/>
      <c r="I1048" s="949"/>
      <c r="J1048" s="950"/>
      <c r="K1048" s="273"/>
      <c r="L1048" s="273"/>
      <c r="M1048" s="375"/>
      <c r="N1048" s="375"/>
      <c r="O1048" s="273"/>
    </row>
    <row r="1049" spans="1:15" ht="18" customHeight="1">
      <c r="A1049" s="197" t="s">
        <v>6</v>
      </c>
      <c r="B1049" s="234" t="s">
        <v>7</v>
      </c>
      <c r="C1049" s="955">
        <f>CEILING((C1048+35*$Z$1),0.1)</f>
        <v>118.80000000000001</v>
      </c>
      <c r="D1049" s="956"/>
      <c r="E1049" s="955">
        <f>CEILING((E1048+35*$Z$1),0.1)</f>
        <v>132.6</v>
      </c>
      <c r="F1049" s="956"/>
      <c r="G1049" s="955">
        <f>CEILING((G1048+35*$Z$1),0.1)</f>
        <v>118.80000000000001</v>
      </c>
      <c r="H1049" s="956"/>
      <c r="I1049" s="949"/>
      <c r="J1049" s="950"/>
      <c r="K1049" s="273"/>
      <c r="L1049" s="273"/>
      <c r="M1049" s="273"/>
      <c r="N1049" s="273"/>
      <c r="O1049" s="273"/>
    </row>
    <row r="1050" spans="1:15" ht="15.75" customHeight="1">
      <c r="A1050" s="198"/>
      <c r="B1050" s="382" t="s">
        <v>9</v>
      </c>
      <c r="C1050" s="955">
        <f>CEILING((C1048*0.85),0.1)</f>
        <v>63.800000000000004</v>
      </c>
      <c r="D1050" s="956"/>
      <c r="E1050" s="955">
        <f>CEILING((E1048*0.85),0.1)</f>
        <v>75.5</v>
      </c>
      <c r="F1050" s="956"/>
      <c r="G1050" s="955">
        <f>CEILING((G1048*0.85),0.1)</f>
        <v>63.800000000000004</v>
      </c>
      <c r="H1050" s="956"/>
      <c r="I1050" s="949"/>
      <c r="J1050" s="950"/>
      <c r="K1050" s="273"/>
      <c r="L1050" s="273"/>
      <c r="M1050" s="273"/>
      <c r="N1050" s="273"/>
      <c r="O1050" s="273"/>
    </row>
    <row r="1051" spans="1:15" ht="14.25">
      <c r="A1051" s="515" t="s">
        <v>898</v>
      </c>
      <c r="B1051" s="292" t="s">
        <v>97</v>
      </c>
      <c r="C1051" s="955">
        <v>0</v>
      </c>
      <c r="D1051" s="956"/>
      <c r="E1051" s="955">
        <f>CEILING((E1048*0.5),0.1)</f>
        <v>44.400000000000006</v>
      </c>
      <c r="F1051" s="960"/>
      <c r="G1051" s="955">
        <v>0</v>
      </c>
      <c r="H1051" s="956"/>
      <c r="I1051" s="949"/>
      <c r="J1051" s="950"/>
      <c r="K1051" s="273"/>
      <c r="L1051" s="273"/>
      <c r="M1051" s="273"/>
      <c r="N1051" s="273"/>
      <c r="O1051" s="273"/>
    </row>
    <row r="1052" spans="1:15" ht="14.25">
      <c r="A1052" s="571" t="s">
        <v>899</v>
      </c>
      <c r="B1052" s="283" t="s">
        <v>404</v>
      </c>
      <c r="C1052" s="955">
        <f>CEILING(70*$Z$1,0.1)</f>
        <v>87.5</v>
      </c>
      <c r="D1052" s="960"/>
      <c r="E1052" s="955">
        <f>CEILING(81*$Z$1,0.1)</f>
        <v>101.30000000000001</v>
      </c>
      <c r="F1052" s="960"/>
      <c r="G1052" s="955">
        <f>CEILING(70*$Z$1,0.1)</f>
        <v>87.5</v>
      </c>
      <c r="H1052" s="960"/>
      <c r="I1052" s="949"/>
      <c r="J1052" s="950"/>
      <c r="K1052" s="273"/>
      <c r="L1052" s="273"/>
      <c r="M1052" s="273"/>
      <c r="N1052" s="273"/>
      <c r="O1052" s="273"/>
    </row>
    <row r="1053" spans="1:15" ht="14.25">
      <c r="A1053" s="571"/>
      <c r="B1053" s="283" t="s">
        <v>405</v>
      </c>
      <c r="C1053" s="955">
        <f>CEILING((C1052+35*$Z$1),0.1)</f>
        <v>131.3</v>
      </c>
      <c r="D1053" s="960"/>
      <c r="E1053" s="955">
        <f>CEILING((E1052+35*$Z$1),0.1)</f>
        <v>145.1</v>
      </c>
      <c r="F1053" s="960"/>
      <c r="G1053" s="955">
        <f>CEILING((G1052+35*$Z$1),0.1)</f>
        <v>131.3</v>
      </c>
      <c r="H1053" s="960"/>
      <c r="I1053" s="949"/>
      <c r="J1053" s="950"/>
      <c r="K1053" s="273"/>
      <c r="L1053" s="273"/>
      <c r="M1053" s="273"/>
      <c r="N1053" s="273"/>
      <c r="O1053" s="273"/>
    </row>
    <row r="1054" spans="1:15" ht="14.25">
      <c r="A1054" s="198"/>
      <c r="B1054" s="418" t="s">
        <v>13</v>
      </c>
      <c r="C1054" s="955">
        <f>CEILING(75*$Z$1,0.1)</f>
        <v>93.80000000000001</v>
      </c>
      <c r="D1054" s="960"/>
      <c r="E1054" s="955">
        <f>CEILING(86*$Z$1,0.1)</f>
        <v>107.5</v>
      </c>
      <c r="F1054" s="960"/>
      <c r="G1054" s="955">
        <f>CEILING(75*$Z$1,0.1)</f>
        <v>93.80000000000001</v>
      </c>
      <c r="H1054" s="960"/>
      <c r="I1054" s="949"/>
      <c r="J1054" s="950"/>
      <c r="K1054" s="273"/>
      <c r="L1054" s="273"/>
      <c r="M1054" s="273"/>
      <c r="N1054" s="273"/>
      <c r="O1054" s="273"/>
    </row>
    <row r="1055" spans="1:15" ht="14.25">
      <c r="A1055" s="198"/>
      <c r="B1055" s="418" t="s">
        <v>62</v>
      </c>
      <c r="C1055" s="955">
        <f>CEILING((C1054+35*$Z$1),0.1)</f>
        <v>137.6</v>
      </c>
      <c r="D1055" s="960"/>
      <c r="E1055" s="955">
        <f>CEILING((E1054+35*$Z$1),0.1)</f>
        <v>151.3</v>
      </c>
      <c r="F1055" s="960"/>
      <c r="G1055" s="955">
        <f>CEILING((G1054+35*$Z$1),0.1)</f>
        <v>137.6</v>
      </c>
      <c r="H1055" s="960"/>
      <c r="I1055" s="949"/>
      <c r="J1055" s="950"/>
      <c r="K1055" s="273"/>
      <c r="L1055" s="273"/>
      <c r="M1055" s="273"/>
      <c r="N1055" s="273"/>
      <c r="O1055" s="273"/>
    </row>
    <row r="1056" spans="1:15" ht="14.25">
      <c r="A1056" s="198"/>
      <c r="B1056" s="283" t="s">
        <v>78</v>
      </c>
      <c r="C1056" s="955">
        <f>CEILING(95*$Z$1,0.1)</f>
        <v>118.80000000000001</v>
      </c>
      <c r="D1056" s="960"/>
      <c r="E1056" s="955">
        <f>CEILING(106*$Z$1,0.1)</f>
        <v>132.5</v>
      </c>
      <c r="F1056" s="960"/>
      <c r="G1056" s="955">
        <f>CEILING(95*$Z$1,0.1)</f>
        <v>118.80000000000001</v>
      </c>
      <c r="H1056" s="960"/>
      <c r="I1056" s="949"/>
      <c r="J1056" s="950"/>
      <c r="K1056" s="273"/>
      <c r="L1056" s="273"/>
      <c r="M1056" s="273"/>
      <c r="N1056" s="273"/>
      <c r="O1056" s="273"/>
    </row>
    <row r="1057" spans="1:25" ht="16.5" customHeight="1">
      <c r="A1057" s="423"/>
      <c r="B1057" s="283" t="s">
        <v>77</v>
      </c>
      <c r="C1057" s="955">
        <f>CEILING((C1056+35*$Z$1),0.1)</f>
        <v>162.60000000000002</v>
      </c>
      <c r="D1057" s="960"/>
      <c r="E1057" s="955">
        <f>CEILING((E1056+35*$Z$1),0.1)</f>
        <v>176.3</v>
      </c>
      <c r="F1057" s="960"/>
      <c r="G1057" s="955">
        <f>CEILING((G1056+35*$Z$1),0.1)</f>
        <v>162.60000000000002</v>
      </c>
      <c r="H1057" s="960"/>
      <c r="I1057" s="949"/>
      <c r="J1057" s="950"/>
      <c r="K1057" s="273"/>
      <c r="L1057" s="273"/>
      <c r="M1057" s="273"/>
      <c r="N1057" s="273"/>
      <c r="O1057" s="273"/>
      <c r="P1057" s="273"/>
      <c r="Q1057" s="136"/>
      <c r="R1057" s="136"/>
      <c r="S1057" s="136"/>
      <c r="T1057" s="136"/>
      <c r="U1057" s="136"/>
      <c r="V1057" s="136"/>
      <c r="W1057" s="136"/>
      <c r="X1057" s="136"/>
      <c r="Y1057" s="136"/>
    </row>
    <row r="1058" spans="1:25" ht="15.75" customHeight="1">
      <c r="A1058" s="423"/>
      <c r="B1058" s="283" t="s">
        <v>408</v>
      </c>
      <c r="C1058" s="955">
        <f>CEILING(105*$Z$1,0.1)</f>
        <v>131.3</v>
      </c>
      <c r="D1058" s="960"/>
      <c r="E1058" s="955">
        <f>CEILING(116*$Z$1,0.1)</f>
        <v>145</v>
      </c>
      <c r="F1058" s="960"/>
      <c r="G1058" s="955">
        <f>CEILING(105*$Z$1,0.1)</f>
        <v>131.3</v>
      </c>
      <c r="H1058" s="960"/>
      <c r="I1058" s="949"/>
      <c r="J1058" s="950"/>
      <c r="K1058" s="273"/>
      <c r="L1058" s="273"/>
      <c r="M1058" s="273"/>
      <c r="N1058" s="273"/>
      <c r="O1058" s="273"/>
      <c r="P1058" s="273"/>
      <c r="Q1058" s="136"/>
      <c r="R1058" s="136"/>
      <c r="S1058" s="136"/>
      <c r="T1058" s="136"/>
      <c r="U1058" s="136"/>
      <c r="V1058" s="136"/>
      <c r="W1058" s="136"/>
      <c r="X1058" s="136"/>
      <c r="Y1058" s="136"/>
    </row>
    <row r="1059" spans="1:15" ht="15.75" customHeight="1">
      <c r="A1059" s="470"/>
      <c r="B1059" s="283" t="s">
        <v>406</v>
      </c>
      <c r="C1059" s="969">
        <f>CEILING((C1058+35*$Z$1),0.1)</f>
        <v>175.10000000000002</v>
      </c>
      <c r="D1059" s="970"/>
      <c r="E1059" s="969">
        <f>CEILING((E1058+35*$Z$1),0.1)</f>
        <v>188.8</v>
      </c>
      <c r="F1059" s="970"/>
      <c r="G1059" s="969">
        <f>CEILING((G1058+35*$Z$1),0.1)</f>
        <v>175.10000000000002</v>
      </c>
      <c r="H1059" s="970"/>
      <c r="I1059" s="949"/>
      <c r="J1059" s="950"/>
      <c r="K1059" s="273"/>
      <c r="L1059" s="273"/>
      <c r="M1059" s="273"/>
      <c r="N1059" s="273"/>
      <c r="O1059" s="273"/>
    </row>
    <row r="1060" spans="1:15" ht="14.25">
      <c r="A1060" s="465"/>
      <c r="B1060" s="908" t="s">
        <v>407</v>
      </c>
      <c r="C1060" s="951">
        <f>CEILING(88*$Z$1,0.1)</f>
        <v>110</v>
      </c>
      <c r="D1060" s="954"/>
      <c r="E1060" s="951">
        <f>CEILING(100*$Z$1,0.1)</f>
        <v>125</v>
      </c>
      <c r="F1060" s="954"/>
      <c r="G1060" s="951">
        <f>CEILING(88*$Z$1,0.1)</f>
        <v>110</v>
      </c>
      <c r="H1060" s="954"/>
      <c r="I1060" s="1086"/>
      <c r="J1060" s="1087"/>
      <c r="K1060" s="273"/>
      <c r="L1060" s="273"/>
      <c r="M1060" s="273"/>
      <c r="N1060" s="273"/>
      <c r="O1060" s="273"/>
    </row>
    <row r="1061" spans="1:15" ht="16.5" customHeight="1">
      <c r="A1061" s="471"/>
      <c r="B1061" s="373" t="s">
        <v>514</v>
      </c>
      <c r="C1061" s="951">
        <f>CEILING((C1060*0.5),0.1)</f>
        <v>55</v>
      </c>
      <c r="D1061" s="954"/>
      <c r="E1061" s="951">
        <f>CEILING((E1060*0.5),0.1)</f>
        <v>62.5</v>
      </c>
      <c r="F1061" s="954"/>
      <c r="G1061" s="951">
        <f>CEILING((G1060*0.5),0.1)</f>
        <v>55</v>
      </c>
      <c r="H1061" s="954"/>
      <c r="I1061" s="1080"/>
      <c r="J1061" s="1081"/>
      <c r="K1061" s="273"/>
      <c r="L1061" s="273"/>
      <c r="M1061" s="273"/>
      <c r="N1061" s="273"/>
      <c r="O1061" s="273"/>
    </row>
    <row r="1062" spans="1:15" ht="17.25" customHeight="1">
      <c r="A1062" s="471"/>
      <c r="B1062" s="471" t="s">
        <v>515</v>
      </c>
      <c r="C1062" s="951">
        <f>CEILING((C1060*0.7),0.1)</f>
        <v>77</v>
      </c>
      <c r="D1062" s="954"/>
      <c r="E1062" s="951">
        <f>CEILING((E1060*0.7),0.1)</f>
        <v>87.5</v>
      </c>
      <c r="F1062" s="954"/>
      <c r="G1062" s="951">
        <f>CEILING((G1060*0.7),0.1)</f>
        <v>77</v>
      </c>
      <c r="H1062" s="954"/>
      <c r="I1062" s="1080"/>
      <c r="J1062" s="1081"/>
      <c r="K1062" s="273"/>
      <c r="L1062" s="273"/>
      <c r="M1062" s="273"/>
      <c r="N1062" s="273"/>
      <c r="O1062" s="273"/>
    </row>
    <row r="1063" spans="1:15" ht="18.75" customHeight="1" thickBot="1">
      <c r="A1063" s="37" t="s">
        <v>402</v>
      </c>
      <c r="B1063" s="472" t="s">
        <v>516</v>
      </c>
      <c r="C1063" s="951">
        <f>CEILING((C1060*0.7),0.1)</f>
        <v>77</v>
      </c>
      <c r="D1063" s="954"/>
      <c r="E1063" s="951">
        <f>CEILING((E1060*0.7),0.1)</f>
        <v>87.5</v>
      </c>
      <c r="F1063" s="954"/>
      <c r="G1063" s="951">
        <f>CEILING((G1060*0.7),0.1)</f>
        <v>77</v>
      </c>
      <c r="H1063" s="954"/>
      <c r="I1063" s="1080"/>
      <c r="J1063" s="1081"/>
      <c r="K1063" s="273"/>
      <c r="L1063" s="273"/>
      <c r="M1063" s="273"/>
      <c r="N1063" s="273"/>
      <c r="O1063" s="273"/>
    </row>
    <row r="1064" spans="1:15" ht="30" customHeight="1" thickTop="1">
      <c r="A1064" s="1020" t="s">
        <v>795</v>
      </c>
      <c r="B1064" s="1021"/>
      <c r="C1064" s="1021"/>
      <c r="D1064" s="1021"/>
      <c r="E1064" s="1021"/>
      <c r="F1064" s="1021"/>
      <c r="G1064" s="1021"/>
      <c r="H1064" s="1021"/>
      <c r="I1064" s="375"/>
      <c r="J1064" s="375"/>
      <c r="K1064" s="375"/>
      <c r="L1064" s="375"/>
      <c r="M1064" s="273"/>
      <c r="N1064" s="273"/>
      <c r="O1064" s="273"/>
    </row>
    <row r="1065" spans="1:15" ht="19.5" customHeight="1" hidden="1">
      <c r="A1065" s="859"/>
      <c r="B1065" s="858"/>
      <c r="C1065" s="858"/>
      <c r="D1065" s="858"/>
      <c r="E1065" s="858"/>
      <c r="F1065" s="858"/>
      <c r="G1065" s="858"/>
      <c r="H1065" s="858"/>
      <c r="I1065" s="860"/>
      <c r="J1065" s="375"/>
      <c r="K1065" s="375"/>
      <c r="L1065" s="375"/>
      <c r="M1065" s="273"/>
      <c r="N1065" s="273"/>
      <c r="O1065" s="273"/>
    </row>
    <row r="1066" spans="1:15" ht="20.25" customHeight="1" thickBot="1">
      <c r="A1066" s="476"/>
      <c r="B1066" s="477"/>
      <c r="C1066" s="478"/>
      <c r="D1066" s="478"/>
      <c r="E1066" s="478"/>
      <c r="F1066" s="478"/>
      <c r="G1066" s="478"/>
      <c r="H1066" s="478"/>
      <c r="I1066" s="375"/>
      <c r="J1066" s="375"/>
      <c r="K1066" s="375"/>
      <c r="L1066" s="375"/>
      <c r="M1066" s="273"/>
      <c r="N1066" s="273"/>
      <c r="O1066" s="273"/>
    </row>
    <row r="1067" spans="1:15" ht="24.75" customHeight="1" thickTop="1">
      <c r="A1067" s="5" t="s">
        <v>4</v>
      </c>
      <c r="B1067" s="11"/>
      <c r="C1067" s="1030" t="s">
        <v>592</v>
      </c>
      <c r="D1067" s="1031"/>
      <c r="E1067" s="1030" t="s">
        <v>593</v>
      </c>
      <c r="F1067" s="1031"/>
      <c r="G1067" s="1030" t="s">
        <v>594</v>
      </c>
      <c r="H1067" s="1048"/>
      <c r="I1067" s="43"/>
      <c r="J1067" s="273"/>
      <c r="K1067" s="273"/>
      <c r="L1067" s="273"/>
      <c r="M1067" s="273"/>
      <c r="N1067" s="273"/>
      <c r="O1067" s="273"/>
    </row>
    <row r="1068" spans="1:15" ht="15">
      <c r="A1068" s="91" t="s">
        <v>30</v>
      </c>
      <c r="B1068" s="254" t="s">
        <v>11</v>
      </c>
      <c r="C1068" s="955">
        <f>CEILING(43*$Z$1,0.1)</f>
        <v>53.800000000000004</v>
      </c>
      <c r="D1068" s="960"/>
      <c r="E1068" s="955">
        <f>CEILING(50*$Z$1,0.1)</f>
        <v>62.5</v>
      </c>
      <c r="F1068" s="960"/>
      <c r="G1068" s="955">
        <f>CEILING(43*$Z$1,0.1)</f>
        <v>53.800000000000004</v>
      </c>
      <c r="H1068" s="960"/>
      <c r="I1068" s="46"/>
      <c r="J1068" s="273"/>
      <c r="K1068" s="273"/>
      <c r="L1068" s="273"/>
      <c r="M1068" s="273"/>
      <c r="N1068" s="273"/>
      <c r="O1068" s="273"/>
    </row>
    <row r="1069" spans="1:15" ht="15">
      <c r="A1069" s="15" t="s">
        <v>18</v>
      </c>
      <c r="B1069" s="138" t="s">
        <v>7</v>
      </c>
      <c r="C1069" s="955">
        <f>CEILING((C1068+20*$Z$1),0.1)</f>
        <v>78.80000000000001</v>
      </c>
      <c r="D1069" s="956"/>
      <c r="E1069" s="955">
        <f>CEILING((E1068+20*$Z$1),0.1)</f>
        <v>87.5</v>
      </c>
      <c r="F1069" s="956"/>
      <c r="G1069" s="955">
        <f>CEILING((G1068+20*$Z$1),0.1)</f>
        <v>78.80000000000001</v>
      </c>
      <c r="H1069" s="956"/>
      <c r="I1069" s="46"/>
      <c r="J1069" s="273"/>
      <c r="K1069" s="273"/>
      <c r="L1069" s="273"/>
      <c r="M1069" s="273"/>
      <c r="N1069" s="273"/>
      <c r="O1069" s="273"/>
    </row>
    <row r="1070" spans="1:15" ht="14.25">
      <c r="A1070" s="515" t="s">
        <v>898</v>
      </c>
      <c r="B1070" s="139" t="s">
        <v>69</v>
      </c>
      <c r="C1070" s="955">
        <f>CEILING((C1068*0.85),0.1)</f>
        <v>45.800000000000004</v>
      </c>
      <c r="D1070" s="956"/>
      <c r="E1070" s="955">
        <f>CEILING((E1068*0.85),0.1)</f>
        <v>53.2</v>
      </c>
      <c r="F1070" s="956"/>
      <c r="G1070" s="955">
        <f>CEILING((G1068*0.85),0.1)</f>
        <v>45.800000000000004</v>
      </c>
      <c r="H1070" s="956"/>
      <c r="I1070" s="46"/>
      <c r="J1070" s="273"/>
      <c r="K1070" s="273"/>
      <c r="L1070" s="273"/>
      <c r="M1070" s="273"/>
      <c r="N1070" s="273"/>
      <c r="O1070" s="273"/>
    </row>
    <row r="1071" spans="1:15" ht="14.25">
      <c r="A1071" s="571" t="s">
        <v>899</v>
      </c>
      <c r="B1071" s="308" t="s">
        <v>101</v>
      </c>
      <c r="C1071" s="955">
        <v>0</v>
      </c>
      <c r="D1071" s="956"/>
      <c r="E1071" s="955">
        <f>CEILING((E1068*0.5),0.1)</f>
        <v>31.3</v>
      </c>
      <c r="F1071" s="960"/>
      <c r="G1071" s="955">
        <v>0</v>
      </c>
      <c r="H1071" s="956"/>
      <c r="I1071" s="46"/>
      <c r="J1071" s="273"/>
      <c r="K1071" s="273"/>
      <c r="L1071" s="273"/>
      <c r="M1071" s="273"/>
      <c r="N1071" s="273"/>
      <c r="O1071" s="273"/>
    </row>
    <row r="1072" spans="1:15" ht="15">
      <c r="A1072" s="299"/>
      <c r="B1072" s="22" t="s">
        <v>302</v>
      </c>
      <c r="C1072" s="955">
        <f>CEILING(58*$Z$1,0.1)</f>
        <v>72.5</v>
      </c>
      <c r="D1072" s="960"/>
      <c r="E1072" s="955">
        <f>CEILING(65*$Z$1,0.1)</f>
        <v>81.30000000000001</v>
      </c>
      <c r="F1072" s="960"/>
      <c r="G1072" s="955">
        <f>CEILING(58*$Z$1,0.1)</f>
        <v>72.5</v>
      </c>
      <c r="H1072" s="960"/>
      <c r="I1072" s="46"/>
      <c r="J1072" s="273"/>
      <c r="K1072" s="273"/>
      <c r="L1072" s="273"/>
      <c r="M1072" s="273"/>
      <c r="N1072" s="273"/>
      <c r="O1072" s="273"/>
    </row>
    <row r="1073" spans="1:15" ht="15" thickBot="1">
      <c r="A1073" s="37" t="s">
        <v>402</v>
      </c>
      <c r="B1073" s="28" t="s">
        <v>303</v>
      </c>
      <c r="C1073" s="978">
        <f>CEILING((C1072+20*$Z$1),0.1)</f>
        <v>97.5</v>
      </c>
      <c r="D1073" s="1085"/>
      <c r="E1073" s="978">
        <f>CEILING((E1072+20*$Z$1),0.1)</f>
        <v>106.30000000000001</v>
      </c>
      <c r="F1073" s="1085"/>
      <c r="G1073" s="978">
        <f>CEILING((G1072+20*$Z$1),0.1)</f>
        <v>97.5</v>
      </c>
      <c r="H1073" s="1085"/>
      <c r="I1073" s="78"/>
      <c r="J1073" s="273"/>
      <c r="K1073" s="273"/>
      <c r="L1073" s="273"/>
      <c r="M1073" s="273"/>
      <c r="N1073" s="273"/>
      <c r="O1073" s="273"/>
    </row>
    <row r="1074" spans="1:15" ht="16.5" customHeight="1" thickTop="1">
      <c r="A1074" s="1083" t="s">
        <v>902</v>
      </c>
      <c r="B1074" s="1083"/>
      <c r="C1074" s="1083"/>
      <c r="D1074" s="1083"/>
      <c r="E1074" s="1083"/>
      <c r="F1074" s="1083"/>
      <c r="G1074" s="1083"/>
      <c r="H1074" s="1083"/>
      <c r="I1074" s="1083"/>
      <c r="J1074" s="1083"/>
      <c r="K1074" s="1083"/>
      <c r="L1074" s="1083"/>
      <c r="M1074" s="273"/>
      <c r="N1074" s="273"/>
      <c r="O1074" s="273"/>
    </row>
    <row r="1075" spans="1:15" ht="16.5" customHeight="1" hidden="1">
      <c r="A1075" s="316"/>
      <c r="B1075" s="893"/>
      <c r="C1075" s="893"/>
      <c r="D1075" s="893"/>
      <c r="E1075" s="893"/>
      <c r="F1075" s="893"/>
      <c r="G1075" s="893"/>
      <c r="H1075" s="893"/>
      <c r="I1075" s="849"/>
      <c r="J1075" s="849"/>
      <c r="K1075" s="849"/>
      <c r="L1075" s="849"/>
      <c r="M1075" s="273"/>
      <c r="N1075" s="273"/>
      <c r="O1075" s="273"/>
    </row>
    <row r="1076" spans="1:15" ht="16.5" customHeight="1" thickBot="1">
      <c r="A1076" s="490"/>
      <c r="B1076" s="482"/>
      <c r="C1076" s="482"/>
      <c r="D1076" s="482"/>
      <c r="E1076" s="482"/>
      <c r="F1076" s="482"/>
      <c r="G1076" s="482"/>
      <c r="H1076" s="482"/>
      <c r="I1076" s="893"/>
      <c r="J1076" s="893"/>
      <c r="K1076" s="893"/>
      <c r="L1076" s="893"/>
      <c r="M1076" s="273"/>
      <c r="N1076" s="273"/>
      <c r="O1076" s="273"/>
    </row>
    <row r="1077" spans="1:15" ht="25.5" customHeight="1" thickTop="1">
      <c r="A1077" s="5" t="s">
        <v>4</v>
      </c>
      <c r="B1077" s="11"/>
      <c r="C1077" s="945" t="s">
        <v>876</v>
      </c>
      <c r="D1077" s="946"/>
      <c r="E1077" s="945" t="s">
        <v>877</v>
      </c>
      <c r="F1077" s="946"/>
      <c r="G1077" s="945" t="s">
        <v>594</v>
      </c>
      <c r="H1077" s="964"/>
      <c r="I1077" s="272"/>
      <c r="J1077" s="893"/>
      <c r="K1077" s="893"/>
      <c r="L1077" s="893"/>
      <c r="M1077" s="273"/>
      <c r="N1077" s="273"/>
      <c r="O1077" s="273"/>
    </row>
    <row r="1078" spans="1:15" ht="16.5" customHeight="1">
      <c r="A1078" s="196" t="s">
        <v>874</v>
      </c>
      <c r="B1078" s="361" t="s">
        <v>11</v>
      </c>
      <c r="C1078" s="951">
        <f>CEILING(70*$Z$1,0.1)</f>
        <v>87.5</v>
      </c>
      <c r="D1078" s="954"/>
      <c r="E1078" s="951">
        <f>CEILING(75*$Z$1,0.1)</f>
        <v>93.80000000000001</v>
      </c>
      <c r="F1078" s="954"/>
      <c r="G1078" s="951">
        <f>CEILING(70*$Z$1,0.1)</f>
        <v>87.5</v>
      </c>
      <c r="H1078" s="954"/>
      <c r="I1078" s="272"/>
      <c r="J1078" s="893"/>
      <c r="K1078" s="893"/>
      <c r="L1078" s="893"/>
      <c r="M1078" s="273"/>
      <c r="N1078" s="273"/>
      <c r="O1078" s="273"/>
    </row>
    <row r="1079" spans="1:15" ht="16.5" customHeight="1">
      <c r="A1079" s="197" t="s">
        <v>6</v>
      </c>
      <c r="B1079" s="234" t="s">
        <v>7</v>
      </c>
      <c r="C1079" s="951">
        <f>CEILING((C1078+25*$Z$1),0.1)</f>
        <v>118.80000000000001</v>
      </c>
      <c r="D1079" s="952"/>
      <c r="E1079" s="951">
        <f>CEILING((E1078+25*$Z$1),0.1)</f>
        <v>125.10000000000001</v>
      </c>
      <c r="F1079" s="952"/>
      <c r="G1079" s="951">
        <f>CEILING((G1078+25*$Z$1),0.1)</f>
        <v>118.80000000000001</v>
      </c>
      <c r="H1079" s="952"/>
      <c r="I1079" s="272"/>
      <c r="J1079" s="893"/>
      <c r="K1079" s="893"/>
      <c r="L1079" s="893"/>
      <c r="M1079" s="273"/>
      <c r="N1079" s="273"/>
      <c r="O1079" s="273"/>
    </row>
    <row r="1080" spans="1:15" ht="16.5" customHeight="1">
      <c r="A1080" s="198"/>
      <c r="B1080" s="382" t="s">
        <v>9</v>
      </c>
      <c r="C1080" s="951">
        <f>CEILING((C1078*0.85),0.1)</f>
        <v>74.4</v>
      </c>
      <c r="D1080" s="952"/>
      <c r="E1080" s="951">
        <f>CEILING((E1078*0.85),0.1)</f>
        <v>79.80000000000001</v>
      </c>
      <c r="F1080" s="952"/>
      <c r="G1080" s="951">
        <f>CEILING((G1078*0.85),0.1)</f>
        <v>74.4</v>
      </c>
      <c r="H1080" s="952"/>
      <c r="I1080" s="272"/>
      <c r="J1080" s="893"/>
      <c r="K1080" s="893"/>
      <c r="L1080" s="893"/>
      <c r="M1080" s="273"/>
      <c r="N1080" s="273"/>
      <c r="O1080" s="273"/>
    </row>
    <row r="1081" spans="1:15" ht="16.5" customHeight="1">
      <c r="A1081" s="463"/>
      <c r="B1081" s="292" t="s">
        <v>97</v>
      </c>
      <c r="C1081" s="951">
        <f>CEILING((C1078*0.5),0.1)</f>
        <v>43.800000000000004</v>
      </c>
      <c r="D1081" s="952"/>
      <c r="E1081" s="951">
        <f>CEILING((E1078*0.5),0.1)</f>
        <v>46.900000000000006</v>
      </c>
      <c r="F1081" s="952"/>
      <c r="G1081" s="951">
        <f>CEILING((G1078*0.5),0.1)</f>
        <v>43.800000000000004</v>
      </c>
      <c r="H1081" s="952"/>
      <c r="I1081" s="272"/>
      <c r="J1081" s="893"/>
      <c r="K1081" s="893"/>
      <c r="L1081" s="893"/>
      <c r="M1081" s="273"/>
      <c r="N1081" s="273"/>
      <c r="O1081" s="273"/>
    </row>
    <row r="1082" spans="1:15" ht="16.5" customHeight="1">
      <c r="A1082" s="198"/>
      <c r="B1082" s="283" t="s">
        <v>13</v>
      </c>
      <c r="C1082" s="951">
        <f>CEILING(90*$Z$1,0.1)</f>
        <v>112.5</v>
      </c>
      <c r="D1082" s="954"/>
      <c r="E1082" s="951">
        <f>CEILING(95*$Z$1,0.1)</f>
        <v>118.80000000000001</v>
      </c>
      <c r="F1082" s="954"/>
      <c r="G1082" s="951">
        <f>CEILING(90*$Z$1,0.1)</f>
        <v>112.5</v>
      </c>
      <c r="H1082" s="954"/>
      <c r="I1082" s="272"/>
      <c r="J1082" s="893"/>
      <c r="K1082" s="893"/>
      <c r="L1082" s="893"/>
      <c r="M1082" s="273"/>
      <c r="N1082" s="273"/>
      <c r="O1082" s="273"/>
    </row>
    <row r="1083" spans="1:15" ht="16.5" customHeight="1">
      <c r="A1083" s="571"/>
      <c r="B1083" s="283" t="s">
        <v>62</v>
      </c>
      <c r="C1083" s="951">
        <f>CEILING((C1082+28*$Z$1),0.1)</f>
        <v>147.5</v>
      </c>
      <c r="D1083" s="954"/>
      <c r="E1083" s="951">
        <f>CEILING((E1082+28*$Z$1),0.1)</f>
        <v>153.8</v>
      </c>
      <c r="F1083" s="954"/>
      <c r="G1083" s="951">
        <f>CEILING((G1082+28*$Z$1),0.1)</f>
        <v>147.5</v>
      </c>
      <c r="H1083" s="954"/>
      <c r="I1083" s="272"/>
      <c r="J1083" s="893"/>
      <c r="K1083" s="893"/>
      <c r="L1083" s="893"/>
      <c r="M1083" s="273"/>
      <c r="N1083" s="273"/>
      <c r="O1083" s="273"/>
    </row>
    <row r="1084" spans="1:15" ht="16.5" customHeight="1">
      <c r="A1084" s="198"/>
      <c r="B1084" s="373" t="s">
        <v>10</v>
      </c>
      <c r="C1084" s="951">
        <f>CEILING(110*$Z$1,0.1)</f>
        <v>137.5</v>
      </c>
      <c r="D1084" s="954"/>
      <c r="E1084" s="951">
        <f>CEILING(115*$Z$1,0.1)</f>
        <v>143.8</v>
      </c>
      <c r="F1084" s="954"/>
      <c r="G1084" s="951">
        <f>CEILING(110*$Z$1,0.1)</f>
        <v>137.5</v>
      </c>
      <c r="H1084" s="954"/>
      <c r="I1084" s="272"/>
      <c r="J1084" s="893"/>
      <c r="K1084" s="893"/>
      <c r="L1084" s="893"/>
      <c r="M1084" s="273"/>
      <c r="N1084" s="273"/>
      <c r="O1084" s="273"/>
    </row>
    <row r="1085" spans="1:15" ht="16.5" customHeight="1" thickBot="1">
      <c r="A1085" s="37" t="s">
        <v>875</v>
      </c>
      <c r="B1085" s="904" t="s">
        <v>15</v>
      </c>
      <c r="C1085" s="967">
        <f>CEILING((C1084+35*$Z$1),0.1)</f>
        <v>181.3</v>
      </c>
      <c r="D1085" s="968"/>
      <c r="E1085" s="967">
        <f>CEILING((E1084+35*$Z$1),0.1)</f>
        <v>187.60000000000002</v>
      </c>
      <c r="F1085" s="968"/>
      <c r="G1085" s="967">
        <f>CEILING((G1084+35*$Z$1),0.1)</f>
        <v>181.3</v>
      </c>
      <c r="H1085" s="968"/>
      <c r="I1085" s="272"/>
      <c r="J1085" s="893"/>
      <c r="K1085" s="893"/>
      <c r="L1085" s="893"/>
      <c r="M1085" s="273"/>
      <c r="N1085" s="273"/>
      <c r="O1085" s="273"/>
    </row>
    <row r="1086" spans="1:15" ht="16.5" customHeight="1" thickTop="1">
      <c r="A1086" s="1083" t="s">
        <v>878</v>
      </c>
      <c r="B1086" s="1083"/>
      <c r="C1086" s="1083"/>
      <c r="D1086" s="1083"/>
      <c r="E1086" s="1083"/>
      <c r="F1086" s="1083"/>
      <c r="G1086" s="1083"/>
      <c r="H1086" s="1083"/>
      <c r="I1086" s="1083"/>
      <c r="J1086" s="1083"/>
      <c r="K1086" s="1083"/>
      <c r="L1086" s="1083"/>
      <c r="M1086" s="273"/>
      <c r="N1086" s="273"/>
      <c r="O1086" s="273"/>
    </row>
    <row r="1087" spans="1:15" ht="20.25" customHeight="1">
      <c r="A1087" s="480"/>
      <c r="B1087" s="481"/>
      <c r="C1087" s="458"/>
      <c r="D1087" s="458"/>
      <c r="E1087" s="458"/>
      <c r="F1087" s="458"/>
      <c r="G1087" s="458"/>
      <c r="H1087" s="458"/>
      <c r="I1087" s="50"/>
      <c r="J1087" s="273"/>
      <c r="K1087" s="273"/>
      <c r="L1087" s="273"/>
      <c r="M1087" s="273"/>
      <c r="N1087" s="273"/>
      <c r="O1087" s="273"/>
    </row>
    <row r="1088" spans="1:25" ht="16.5" customHeight="1">
      <c r="A1088" s="1045" t="s">
        <v>691</v>
      </c>
      <c r="B1088" s="1045"/>
      <c r="C1088" s="1045"/>
      <c r="D1088" s="1045"/>
      <c r="E1088" s="1045"/>
      <c r="F1088" s="1045"/>
      <c r="G1088" s="1045"/>
      <c r="H1088" s="1045"/>
      <c r="I1088" s="1012"/>
      <c r="J1088" s="1012"/>
      <c r="K1088" s="547"/>
      <c r="L1088" s="547"/>
      <c r="M1088" s="587"/>
      <c r="N1088" s="584"/>
      <c r="O1088" s="136"/>
      <c r="P1088" s="136"/>
      <c r="Q1088" s="136"/>
      <c r="R1088" s="136"/>
      <c r="S1088" s="136"/>
      <c r="T1088" s="136"/>
      <c r="U1088" s="136"/>
      <c r="V1088" s="136"/>
      <c r="W1088" s="136"/>
      <c r="X1088" s="136"/>
      <c r="Y1088" s="136"/>
    </row>
    <row r="1089" spans="1:25" ht="21.75" customHeight="1">
      <c r="A1089" s="1010" t="s">
        <v>692</v>
      </c>
      <c r="B1089" s="1010"/>
      <c r="C1089" s="1010"/>
      <c r="D1089" s="1010"/>
      <c r="E1089" s="1010"/>
      <c r="F1089" s="1010"/>
      <c r="G1089" s="1010"/>
      <c r="H1089" s="1010"/>
      <c r="I1089" s="1010"/>
      <c r="J1089" s="1010"/>
      <c r="K1089" s="547"/>
      <c r="L1089" s="547"/>
      <c r="M1089" s="587"/>
      <c r="N1089" s="584"/>
      <c r="O1089" s="136"/>
      <c r="P1089" s="136"/>
      <c r="Q1089" s="136"/>
      <c r="R1089" s="136"/>
      <c r="S1089" s="136"/>
      <c r="T1089" s="136"/>
      <c r="U1089" s="136"/>
      <c r="V1089" s="136"/>
      <c r="W1089" s="136"/>
      <c r="X1089" s="136"/>
      <c r="Y1089" s="136"/>
    </row>
    <row r="1090" spans="1:25" ht="21.75" customHeight="1">
      <c r="A1090" s="1011" t="s">
        <v>765</v>
      </c>
      <c r="B1090" s="1011"/>
      <c r="C1090" s="1011"/>
      <c r="D1090" s="1011"/>
      <c r="E1090" s="1011"/>
      <c r="F1090" s="1011"/>
      <c r="G1090" s="1011"/>
      <c r="H1090" s="1011"/>
      <c r="I1090" s="1012"/>
      <c r="J1090" s="1012"/>
      <c r="K1090" s="581"/>
      <c r="L1090" s="581"/>
      <c r="M1090" s="587"/>
      <c r="N1090" s="584"/>
      <c r="O1090" s="136"/>
      <c r="P1090" s="136"/>
      <c r="Q1090" s="136"/>
      <c r="R1090" s="136"/>
      <c r="S1090" s="136"/>
      <c r="T1090" s="136"/>
      <c r="U1090" s="136"/>
      <c r="V1090" s="136"/>
      <c r="W1090" s="136"/>
      <c r="X1090" s="136"/>
      <c r="Y1090" s="136"/>
    </row>
    <row r="1091" spans="1:25" ht="20.25" customHeight="1">
      <c r="A1091" s="1011" t="s">
        <v>766</v>
      </c>
      <c r="B1091" s="1011"/>
      <c r="C1091" s="1011"/>
      <c r="D1091" s="1011"/>
      <c r="E1091" s="1011"/>
      <c r="F1091" s="1011"/>
      <c r="G1091" s="1011"/>
      <c r="H1091" s="1011"/>
      <c r="I1091" s="1012"/>
      <c r="J1091" s="1012"/>
      <c r="K1091" s="581"/>
      <c r="L1091" s="581"/>
      <c r="M1091" s="587"/>
      <c r="N1091" s="584"/>
      <c r="O1091" s="136"/>
      <c r="P1091" s="136"/>
      <c r="Q1091" s="136"/>
      <c r="R1091" s="136"/>
      <c r="S1091" s="136"/>
      <c r="T1091" s="136"/>
      <c r="U1091" s="136"/>
      <c r="V1091" s="136"/>
      <c r="W1091" s="136"/>
      <c r="X1091" s="136"/>
      <c r="Y1091" s="136"/>
    </row>
    <row r="1092" spans="1:15" ht="14.25">
      <c r="A1092" s="1"/>
      <c r="B1092" s="1"/>
      <c r="C1092" s="1"/>
      <c r="D1092" s="1"/>
      <c r="E1092" s="1"/>
      <c r="F1092" s="1"/>
      <c r="G1092" s="1"/>
      <c r="H1092" s="1"/>
      <c r="I1092" s="1"/>
      <c r="J1092" s="273"/>
      <c r="K1092" s="273"/>
      <c r="L1092" s="273"/>
      <c r="M1092" s="273"/>
      <c r="N1092" s="273"/>
      <c r="O1092" s="273"/>
    </row>
    <row r="1093" spans="1:15" ht="24" customHeight="1">
      <c r="A1093" s="1084" t="s">
        <v>31</v>
      </c>
      <c r="B1093" s="1084"/>
      <c r="C1093" s="1084"/>
      <c r="D1093" s="1084"/>
      <c r="E1093" s="1084"/>
      <c r="F1093" s="1084"/>
      <c r="G1093" s="1084"/>
      <c r="H1093" s="1084"/>
      <c r="I1093" s="1"/>
      <c r="J1093" s="273"/>
      <c r="K1093" s="273"/>
      <c r="L1093" s="273"/>
      <c r="M1093" s="273"/>
      <c r="N1093" s="273"/>
      <c r="O1093" s="273"/>
    </row>
    <row r="1094" spans="1:15" ht="18" customHeight="1" thickBot="1">
      <c r="A1094" s="1082" t="s">
        <v>8</v>
      </c>
      <c r="B1094" s="1082"/>
      <c r="C1094" s="1082"/>
      <c r="D1094" s="1082"/>
      <c r="E1094" s="1082"/>
      <c r="F1094" s="1082"/>
      <c r="G1094" s="1082"/>
      <c r="H1094" s="1082"/>
      <c r="I1094" s="1"/>
      <c r="J1094" s="273"/>
      <c r="K1094" s="273"/>
      <c r="L1094" s="273"/>
      <c r="M1094" s="273"/>
      <c r="N1094" s="273"/>
      <c r="O1094" s="273"/>
    </row>
    <row r="1095" spans="1:15" ht="22.5" customHeight="1" thickTop="1">
      <c r="A1095" s="697" t="s">
        <v>4</v>
      </c>
      <c r="B1095" s="32"/>
      <c r="C1095" s="945" t="s">
        <v>592</v>
      </c>
      <c r="D1095" s="946"/>
      <c r="E1095" s="945" t="s">
        <v>593</v>
      </c>
      <c r="F1095" s="946"/>
      <c r="G1095" s="945" t="s">
        <v>594</v>
      </c>
      <c r="H1095" s="964"/>
      <c r="I1095" s="288"/>
      <c r="J1095" s="273"/>
      <c r="K1095" s="273"/>
      <c r="L1095" s="273"/>
      <c r="M1095" s="273"/>
      <c r="N1095" s="273"/>
      <c r="O1095" s="273"/>
    </row>
    <row r="1096" spans="1:15" ht="17.25" customHeight="1">
      <c r="A1096" s="241" t="s">
        <v>32</v>
      </c>
      <c r="B1096" s="347" t="s">
        <v>13</v>
      </c>
      <c r="C1096" s="951">
        <f>CEILING(95*$Z$1,0.1)</f>
        <v>118.80000000000001</v>
      </c>
      <c r="D1096" s="954"/>
      <c r="E1096" s="951">
        <f>CEILING(110*$Z$1,0.1)</f>
        <v>137.5</v>
      </c>
      <c r="F1096" s="954"/>
      <c r="G1096" s="951">
        <f>CEILING(95*$Z$1,0.1)</f>
        <v>118.80000000000001</v>
      </c>
      <c r="H1096" s="954"/>
      <c r="I1096" s="6"/>
      <c r="J1096" s="273"/>
      <c r="K1096" s="273"/>
      <c r="L1096" s="273"/>
      <c r="M1096" s="273"/>
      <c r="N1096" s="273"/>
      <c r="O1096" s="273"/>
    </row>
    <row r="1097" spans="1:15" ht="17.25" customHeight="1">
      <c r="A1097" s="15" t="s">
        <v>6</v>
      </c>
      <c r="B1097" s="347" t="s">
        <v>62</v>
      </c>
      <c r="C1097" s="951">
        <f>CEILING((C1096+50*$Z$1),0.1)</f>
        <v>181.3</v>
      </c>
      <c r="D1097" s="952"/>
      <c r="E1097" s="951">
        <f>CEILING((E1096+50*$Z$1),0.1)</f>
        <v>200</v>
      </c>
      <c r="F1097" s="952"/>
      <c r="G1097" s="951">
        <f>CEILING((G1096+50*$Z$1),0.1)</f>
        <v>181.3</v>
      </c>
      <c r="H1097" s="952"/>
      <c r="I1097" s="6"/>
      <c r="J1097" s="273"/>
      <c r="K1097" s="273"/>
      <c r="L1097" s="273"/>
      <c r="M1097" s="273"/>
      <c r="N1097" s="273"/>
      <c r="O1097" s="273"/>
    </row>
    <row r="1098" spans="1:15" ht="15">
      <c r="A1098" s="15"/>
      <c r="B1098" s="784" t="s">
        <v>69</v>
      </c>
      <c r="C1098" s="951">
        <f>CEILING((C1096*0.85),0.1)</f>
        <v>101</v>
      </c>
      <c r="D1098" s="952"/>
      <c r="E1098" s="951">
        <f>CEILING((E1096*0.85),0.1)</f>
        <v>116.9</v>
      </c>
      <c r="F1098" s="952"/>
      <c r="G1098" s="951">
        <f>CEILING((G1096*0.85),0.1)</f>
        <v>101</v>
      </c>
      <c r="H1098" s="952"/>
      <c r="I1098" s="6"/>
      <c r="J1098" s="273"/>
      <c r="K1098" s="273"/>
      <c r="L1098" s="273"/>
      <c r="M1098" s="273"/>
      <c r="N1098" s="273"/>
      <c r="O1098" s="273"/>
    </row>
    <row r="1099" spans="1:15" ht="15.75" customHeight="1">
      <c r="A1099" s="15"/>
      <c r="B1099" s="347" t="s">
        <v>537</v>
      </c>
      <c r="C1099" s="947">
        <f>CEILING(140*$Z$1,0.1)</f>
        <v>175</v>
      </c>
      <c r="D1099" s="957"/>
      <c r="E1099" s="947">
        <f>CEILING(155*$Z$1,0.1)</f>
        <v>193.8</v>
      </c>
      <c r="F1099" s="957"/>
      <c r="G1099" s="947">
        <f>CEILING(140*$Z$1,0.1)</f>
        <v>175</v>
      </c>
      <c r="H1099" s="957"/>
      <c r="I1099" s="7"/>
      <c r="J1099" s="273"/>
      <c r="K1099" s="273"/>
      <c r="L1099" s="273"/>
      <c r="M1099" s="273"/>
      <c r="N1099" s="273"/>
      <c r="O1099" s="273"/>
    </row>
    <row r="1100" spans="1:15" ht="16.5" customHeight="1">
      <c r="A1100" s="15"/>
      <c r="B1100" s="347" t="s">
        <v>845</v>
      </c>
      <c r="C1100" s="947">
        <f>CEILING(145*$Z$1,0.1)</f>
        <v>181.3</v>
      </c>
      <c r="D1100" s="957"/>
      <c r="E1100" s="947">
        <f>CEILING(160*$Z$1,0.1)</f>
        <v>200</v>
      </c>
      <c r="F1100" s="957"/>
      <c r="G1100" s="947">
        <f>CEILING(145*$Z$1,0.1)</f>
        <v>181.3</v>
      </c>
      <c r="H1100" s="957"/>
      <c r="I1100" s="1"/>
      <c r="J1100" s="273"/>
      <c r="K1100" s="273"/>
      <c r="L1100" s="273"/>
      <c r="M1100" s="273"/>
      <c r="N1100" s="273"/>
      <c r="O1100" s="273"/>
    </row>
    <row r="1101" spans="1:15" ht="15.75" customHeight="1">
      <c r="A1101" s="15"/>
      <c r="B1101" s="164" t="s">
        <v>460</v>
      </c>
      <c r="C1101" s="947">
        <f>CEILING(175*$Z$1,0.1)</f>
        <v>218.8</v>
      </c>
      <c r="D1101" s="957"/>
      <c r="E1101" s="947">
        <f>CEILING(190*$Z$1,0.1)</f>
        <v>237.5</v>
      </c>
      <c r="F1101" s="957"/>
      <c r="G1101" s="947">
        <f>CEILING(175*$Z$1,0.1)</f>
        <v>218.8</v>
      </c>
      <c r="H1101" s="957"/>
      <c r="I1101" s="1"/>
      <c r="J1101" s="273"/>
      <c r="K1101" s="273"/>
      <c r="L1101" s="273"/>
      <c r="M1101" s="273"/>
      <c r="N1101" s="273"/>
      <c r="O1101" s="273"/>
    </row>
    <row r="1102" spans="1:15" ht="15.75" customHeight="1">
      <c r="A1102" s="299"/>
      <c r="B1102" s="164" t="s">
        <v>597</v>
      </c>
      <c r="C1102" s="947">
        <f>CEILING(185*$Z$1,0.1)</f>
        <v>231.3</v>
      </c>
      <c r="D1102" s="957"/>
      <c r="E1102" s="947">
        <f>CEILING(200*$Z$1,0.1)</f>
        <v>250</v>
      </c>
      <c r="F1102" s="957"/>
      <c r="G1102" s="947">
        <f>CEILING(185*$Z$1,0.1)</f>
        <v>231.3</v>
      </c>
      <c r="H1102" s="957"/>
      <c r="I1102" s="1"/>
      <c r="J1102" s="273"/>
      <c r="K1102" s="273"/>
      <c r="L1102" s="273"/>
      <c r="M1102" s="273"/>
      <c r="N1102" s="273"/>
      <c r="O1102" s="273"/>
    </row>
    <row r="1103" spans="1:15" ht="16.5" customHeight="1">
      <c r="A1103" s="299"/>
      <c r="B1103" s="164" t="s">
        <v>538</v>
      </c>
      <c r="C1103" s="947">
        <f>CEILING(195*$Z$1,0.1)</f>
        <v>243.8</v>
      </c>
      <c r="D1103" s="957"/>
      <c r="E1103" s="947">
        <f>CEILING(210*$Z$1,0.1)</f>
        <v>262.5</v>
      </c>
      <c r="F1103" s="957"/>
      <c r="G1103" s="947">
        <f>CEILING(195*$Z$1,0.1)</f>
        <v>243.8</v>
      </c>
      <c r="H1103" s="957"/>
      <c r="I1103" s="1"/>
      <c r="J1103" s="273"/>
      <c r="K1103" s="273"/>
      <c r="L1103" s="273"/>
      <c r="M1103" s="273"/>
      <c r="N1103" s="273"/>
      <c r="O1103" s="273"/>
    </row>
    <row r="1104" spans="1:15" ht="17.25" customHeight="1" thickBot="1">
      <c r="A1104" s="378" t="s">
        <v>326</v>
      </c>
      <c r="B1104" s="898" t="s">
        <v>252</v>
      </c>
      <c r="C1104" s="947">
        <f>CEILING(1330*$Z$1,0.1)</f>
        <v>1662.5</v>
      </c>
      <c r="D1104" s="957"/>
      <c r="E1104" s="947">
        <f>CEILING(1330*$Z$1,0.1)</f>
        <v>1662.5</v>
      </c>
      <c r="F1104" s="957"/>
      <c r="G1104" s="947">
        <f>CEILING(1330*$Z$1,0.1)</f>
        <v>1662.5</v>
      </c>
      <c r="H1104" s="957"/>
      <c r="I1104" s="1"/>
      <c r="J1104" s="273"/>
      <c r="K1104" s="273"/>
      <c r="L1104" s="273"/>
      <c r="M1104" s="273"/>
      <c r="N1104" s="273"/>
      <c r="O1104" s="273"/>
    </row>
    <row r="1105" spans="1:15" ht="15.75" customHeight="1" thickTop="1">
      <c r="A1105" s="1117" t="s">
        <v>108</v>
      </c>
      <c r="B1105" s="1007"/>
      <c r="C1105" s="1007"/>
      <c r="D1105" s="1007"/>
      <c r="E1105" s="1007"/>
      <c r="F1105" s="1007"/>
      <c r="G1105" s="1007"/>
      <c r="H1105" s="1007"/>
      <c r="I1105" s="1"/>
      <c r="J1105" s="273"/>
      <c r="K1105" s="273"/>
      <c r="L1105" s="273"/>
      <c r="M1105" s="273"/>
      <c r="N1105" s="273"/>
      <c r="O1105" s="273"/>
    </row>
    <row r="1106" spans="1:15" ht="19.5" customHeight="1">
      <c r="A1106" s="616" t="s">
        <v>846</v>
      </c>
      <c r="B1106" s="543"/>
      <c r="C1106" s="545"/>
      <c r="D1106" s="545"/>
      <c r="E1106" s="545"/>
      <c r="F1106" s="545"/>
      <c r="G1106" s="545"/>
      <c r="H1106" s="545"/>
      <c r="I1106" s="1"/>
      <c r="J1106" s="273"/>
      <c r="K1106" s="273"/>
      <c r="L1106" s="273"/>
      <c r="M1106" s="273"/>
      <c r="N1106" s="273"/>
      <c r="O1106" s="273"/>
    </row>
    <row r="1107" spans="1:12" ht="21" customHeight="1">
      <c r="A1107" s="544" t="s">
        <v>847</v>
      </c>
      <c r="B1107" s="542"/>
      <c r="C1107" s="542"/>
      <c r="D1107" s="542"/>
      <c r="E1107" s="542"/>
      <c r="F1107" s="542"/>
      <c r="G1107" s="542"/>
      <c r="H1107" s="542"/>
      <c r="I1107" s="7"/>
      <c r="J1107" s="7"/>
      <c r="K1107" s="1"/>
      <c r="L1107" s="1"/>
    </row>
    <row r="1108" spans="1:12" ht="18.75" customHeight="1">
      <c r="A1108" s="544" t="s">
        <v>539</v>
      </c>
      <c r="B1108" s="688"/>
      <c r="C1108" s="688"/>
      <c r="D1108" s="688"/>
      <c r="E1108" s="688"/>
      <c r="F1108" s="688"/>
      <c r="G1108" s="688"/>
      <c r="H1108" s="688"/>
      <c r="I1108" s="268"/>
      <c r="J1108" s="7"/>
      <c r="K1108" s="1"/>
      <c r="L1108" s="1"/>
    </row>
    <row r="1109" spans="1:12" ht="17.25" customHeight="1">
      <c r="A1109" s="1049" t="s">
        <v>561</v>
      </c>
      <c r="B1109" s="1050"/>
      <c r="C1109" s="1050"/>
      <c r="D1109" s="1050"/>
      <c r="E1109" s="1050"/>
      <c r="F1109" s="1050"/>
      <c r="G1109" s="1050"/>
      <c r="H1109" s="1050"/>
      <c r="I1109" s="268"/>
      <c r="J1109" s="7"/>
      <c r="K1109" s="1"/>
      <c r="L1109" s="1"/>
    </row>
    <row r="1110" spans="1:15" ht="19.5" customHeight="1" thickBot="1">
      <c r="A1110" s="71"/>
      <c r="B1110" s="71"/>
      <c r="C1110" s="10"/>
      <c r="D1110" s="10"/>
      <c r="E1110" s="10"/>
      <c r="F1110" s="10"/>
      <c r="G1110" s="10"/>
      <c r="H1110" s="10"/>
      <c r="I1110" s="7"/>
      <c r="J1110" s="273"/>
      <c r="K1110" s="273"/>
      <c r="L1110" s="273"/>
      <c r="M1110" s="273"/>
      <c r="N1110" s="273"/>
      <c r="O1110" s="273"/>
    </row>
    <row r="1111" spans="1:15" ht="27" customHeight="1" thickTop="1">
      <c r="A1111" s="697" t="s">
        <v>4</v>
      </c>
      <c r="B1111" s="32"/>
      <c r="C1111" s="945" t="s">
        <v>592</v>
      </c>
      <c r="D1111" s="946"/>
      <c r="E1111" s="945" t="s">
        <v>593</v>
      </c>
      <c r="F1111" s="946"/>
      <c r="G1111" s="945" t="s">
        <v>594</v>
      </c>
      <c r="H1111" s="964"/>
      <c r="I1111" s="288"/>
      <c r="J1111" s="273"/>
      <c r="K1111" s="273"/>
      <c r="L1111" s="273"/>
      <c r="M1111" s="273"/>
      <c r="N1111" s="273"/>
      <c r="O1111" s="273"/>
    </row>
    <row r="1112" spans="1:15" ht="15.75" customHeight="1">
      <c r="A1112" s="18" t="s">
        <v>33</v>
      </c>
      <c r="B1112" s="321" t="s">
        <v>11</v>
      </c>
      <c r="C1112" s="1063">
        <f>CEILING(55*$Z$1,0.1)</f>
        <v>68.8</v>
      </c>
      <c r="D1112" s="1088"/>
      <c r="E1112" s="1063">
        <f>CEILING(65*$Z$1,0.1)</f>
        <v>81.30000000000001</v>
      </c>
      <c r="F1112" s="1088"/>
      <c r="G1112" s="1063">
        <f>CEILING(55*$Z$1,0.1)</f>
        <v>68.8</v>
      </c>
      <c r="H1112" s="1088"/>
      <c r="I1112" s="6"/>
      <c r="J1112" s="273"/>
      <c r="K1112" s="273"/>
      <c r="L1112" s="273"/>
      <c r="M1112" s="273"/>
      <c r="N1112" s="273"/>
      <c r="O1112" s="273"/>
    </row>
    <row r="1113" spans="1:15" ht="15.75" customHeight="1">
      <c r="A1113" s="21" t="s">
        <v>18</v>
      </c>
      <c r="B1113" s="318" t="s">
        <v>7</v>
      </c>
      <c r="C1113" s="951">
        <f>CEILING((C1112+25*$Z$1),0.1)</f>
        <v>100.10000000000001</v>
      </c>
      <c r="D1113" s="952"/>
      <c r="E1113" s="951">
        <f>CEILING((E1112+25*$Z$1),0.1)</f>
        <v>112.60000000000001</v>
      </c>
      <c r="F1113" s="952"/>
      <c r="G1113" s="951">
        <f>CEILING((G1112+25*$Z$1),0.1)</f>
        <v>100.10000000000001</v>
      </c>
      <c r="H1113" s="952"/>
      <c r="I1113" s="6"/>
      <c r="J1113" s="273"/>
      <c r="K1113" s="273"/>
      <c r="L1113" s="273"/>
      <c r="M1113" s="273"/>
      <c r="N1113" s="273"/>
      <c r="O1113" s="273"/>
    </row>
    <row r="1114" spans="1:15" ht="15.75" customHeight="1">
      <c r="A1114" s="18"/>
      <c r="B1114" s="318" t="s">
        <v>69</v>
      </c>
      <c r="C1114" s="1063">
        <f>CEILING((C1112*0.85),0.1)</f>
        <v>58.5</v>
      </c>
      <c r="D1114" s="1064"/>
      <c r="E1114" s="1063">
        <f>CEILING((E1112*0.85),0.1)</f>
        <v>69.2</v>
      </c>
      <c r="F1114" s="1064"/>
      <c r="G1114" s="1063">
        <f>CEILING((G1112*0.85),0.1)</f>
        <v>58.5</v>
      </c>
      <c r="H1114" s="1064"/>
      <c r="I1114" s="6"/>
      <c r="J1114" s="273"/>
      <c r="K1114" s="273"/>
      <c r="L1114" s="273"/>
      <c r="M1114" s="273"/>
      <c r="N1114" s="273"/>
      <c r="O1114" s="273"/>
    </row>
    <row r="1115" spans="1:15" ht="16.5" customHeight="1">
      <c r="A1115" s="259"/>
      <c r="B1115" s="340" t="s">
        <v>101</v>
      </c>
      <c r="C1115" s="1059">
        <v>0</v>
      </c>
      <c r="D1115" s="1060"/>
      <c r="E1115" s="1059">
        <v>0</v>
      </c>
      <c r="F1115" s="1060"/>
      <c r="G1115" s="1059">
        <v>0</v>
      </c>
      <c r="H1115" s="1060"/>
      <c r="I1115" s="6"/>
      <c r="J1115" s="273"/>
      <c r="K1115" s="273"/>
      <c r="L1115" s="273"/>
      <c r="M1115" s="273"/>
      <c r="N1115" s="273"/>
      <c r="O1115" s="273"/>
    </row>
    <row r="1116" spans="1:15" ht="15" customHeight="1">
      <c r="A1116" s="259"/>
      <c r="B1116" s="313" t="s">
        <v>74</v>
      </c>
      <c r="C1116" s="1059">
        <f>CEILING(65*$Z$1,0.1)</f>
        <v>81.30000000000001</v>
      </c>
      <c r="D1116" s="1060"/>
      <c r="E1116" s="1059">
        <f>CEILING(75*$Z$1,0.1)</f>
        <v>93.80000000000001</v>
      </c>
      <c r="F1116" s="1060"/>
      <c r="G1116" s="1059">
        <f>CEILING(65*$Z$1,0.1)</f>
        <v>81.30000000000001</v>
      </c>
      <c r="H1116" s="1060"/>
      <c r="I1116" s="6"/>
      <c r="J1116" s="273"/>
      <c r="K1116" s="273"/>
      <c r="L1116" s="273"/>
      <c r="M1116" s="273"/>
      <c r="N1116" s="273"/>
      <c r="O1116" s="273"/>
    </row>
    <row r="1117" spans="1:15" ht="15" customHeight="1">
      <c r="A1117" s="18"/>
      <c r="B1117" s="313" t="s">
        <v>75</v>
      </c>
      <c r="C1117" s="947">
        <f>CEILING((C1116+25*$Z$1),0.1)</f>
        <v>112.60000000000001</v>
      </c>
      <c r="D1117" s="957"/>
      <c r="E1117" s="947">
        <f>CEILING((E1116+25*$Z$1),0.1)</f>
        <v>125.10000000000001</v>
      </c>
      <c r="F1117" s="957"/>
      <c r="G1117" s="947">
        <f>CEILING((G1116+25*$Z$1),0.1)</f>
        <v>112.60000000000001</v>
      </c>
      <c r="H1117" s="957"/>
      <c r="I1117" s="1"/>
      <c r="J1117" s="273"/>
      <c r="K1117" s="273"/>
      <c r="L1117" s="273"/>
      <c r="M1117" s="273"/>
      <c r="N1117" s="273"/>
      <c r="O1117" s="273"/>
    </row>
    <row r="1118" spans="1:15" ht="16.5" customHeight="1">
      <c r="A1118" s="18"/>
      <c r="B1118" s="313" t="s">
        <v>302</v>
      </c>
      <c r="C1118" s="1059">
        <f>CEILING(75*$Z$1,0.1)</f>
        <v>93.80000000000001</v>
      </c>
      <c r="D1118" s="1060"/>
      <c r="E1118" s="1059">
        <f>CEILING(85*$Z$1,0.1)</f>
        <v>106.30000000000001</v>
      </c>
      <c r="F1118" s="1060"/>
      <c r="G1118" s="1059">
        <f>CEILING(75*$Z$1,0.1)</f>
        <v>93.80000000000001</v>
      </c>
      <c r="H1118" s="1060"/>
      <c r="I1118" s="1"/>
      <c r="J1118" s="273"/>
      <c r="K1118" s="273"/>
      <c r="L1118" s="273"/>
      <c r="M1118" s="273"/>
      <c r="N1118" s="273"/>
      <c r="O1118" s="273"/>
    </row>
    <row r="1119" spans="1:15" ht="15" customHeight="1">
      <c r="A1119" s="18"/>
      <c r="B1119" s="313" t="s">
        <v>13</v>
      </c>
      <c r="C1119" s="1059">
        <f>CEILING(82*$Z$1,0.1)</f>
        <v>102.5</v>
      </c>
      <c r="D1119" s="1060"/>
      <c r="E1119" s="1059">
        <f>CEILING(92*$Z$1,0.1)</f>
        <v>115</v>
      </c>
      <c r="F1119" s="1060"/>
      <c r="G1119" s="1059">
        <f>CEILING(82*$Z$1,0.1)</f>
        <v>102.5</v>
      </c>
      <c r="H1119" s="1060"/>
      <c r="I1119" s="1"/>
      <c r="J1119" s="273"/>
      <c r="K1119" s="273"/>
      <c r="L1119" s="273"/>
      <c r="M1119" s="273"/>
      <c r="N1119" s="273"/>
      <c r="O1119" s="273"/>
    </row>
    <row r="1120" spans="1:15" ht="18" customHeight="1" thickBot="1">
      <c r="A1120" s="378" t="s">
        <v>326</v>
      </c>
      <c r="B1120" s="339" t="s">
        <v>842</v>
      </c>
      <c r="C1120" s="1035">
        <f>CEILING(295*$Z$1,0.1)</f>
        <v>368.8</v>
      </c>
      <c r="D1120" s="1036"/>
      <c r="E1120" s="1035">
        <f>CEILING(295*$Z$1,0.1)</f>
        <v>368.8</v>
      </c>
      <c r="F1120" s="1036"/>
      <c r="G1120" s="1035">
        <f>CEILING(295*$Z$1,0.1)</f>
        <v>368.8</v>
      </c>
      <c r="H1120" s="1036"/>
      <c r="I1120" s="1"/>
      <c r="J1120" s="273"/>
      <c r="K1120" s="273"/>
      <c r="L1120" s="273"/>
      <c r="M1120" s="273"/>
      <c r="N1120" s="273"/>
      <c r="O1120" s="273"/>
    </row>
    <row r="1121" spans="1:15" ht="16.5" customHeight="1" thickTop="1">
      <c r="A1121" s="58" t="s">
        <v>843</v>
      </c>
      <c r="B1121" s="9"/>
      <c r="C1121" s="9"/>
      <c r="D1121" s="9"/>
      <c r="E1121" s="9"/>
      <c r="F1121" s="9"/>
      <c r="G1121" s="9"/>
      <c r="H1121" s="9"/>
      <c r="I1121" s="7"/>
      <c r="J1121" s="273"/>
      <c r="K1121" s="273"/>
      <c r="L1121" s="273"/>
      <c r="M1121" s="273"/>
      <c r="N1121" s="273"/>
      <c r="O1121" s="273"/>
    </row>
    <row r="1122" spans="1:15" ht="16.5" customHeight="1">
      <c r="A1122" s="544" t="s">
        <v>844</v>
      </c>
      <c r="B1122" s="9"/>
      <c r="C1122" s="9"/>
      <c r="D1122" s="9"/>
      <c r="E1122" s="9"/>
      <c r="F1122" s="9"/>
      <c r="G1122" s="9"/>
      <c r="H1122" s="9"/>
      <c r="I1122" s="7"/>
      <c r="J1122" s="273"/>
      <c r="K1122" s="273"/>
      <c r="L1122" s="273"/>
      <c r="M1122" s="273"/>
      <c r="N1122" s="273"/>
      <c r="O1122" s="273"/>
    </row>
    <row r="1123" spans="1:15" ht="14.25" customHeight="1">
      <c r="A1123" s="1049" t="s">
        <v>561</v>
      </c>
      <c r="B1123" s="1050"/>
      <c r="C1123" s="1050"/>
      <c r="D1123" s="1050"/>
      <c r="E1123" s="1050"/>
      <c r="F1123" s="1050"/>
      <c r="G1123" s="1050"/>
      <c r="H1123" s="1050"/>
      <c r="I1123" s="7"/>
      <c r="J1123" s="273"/>
      <c r="K1123" s="273"/>
      <c r="L1123" s="273"/>
      <c r="M1123" s="273"/>
      <c r="N1123" s="273"/>
      <c r="O1123" s="273"/>
    </row>
    <row r="1124" spans="1:15" ht="20.25" customHeight="1" thickBot="1">
      <c r="A1124" s="153"/>
      <c r="B1124" s="153"/>
      <c r="C1124" s="153"/>
      <c r="D1124" s="153"/>
      <c r="E1124" s="153"/>
      <c r="F1124" s="35"/>
      <c r="G1124" s="35"/>
      <c r="H1124" s="35"/>
      <c r="I1124" s="1"/>
      <c r="J1124" s="273"/>
      <c r="K1124" s="273"/>
      <c r="L1124" s="273"/>
      <c r="M1124" s="273"/>
      <c r="N1124" s="273"/>
      <c r="O1124" s="273"/>
    </row>
    <row r="1125" spans="1:15" ht="24.75" customHeight="1" thickTop="1">
      <c r="A1125" s="697" t="s">
        <v>4</v>
      </c>
      <c r="B1125" s="11"/>
      <c r="C1125" s="945" t="s">
        <v>592</v>
      </c>
      <c r="D1125" s="946"/>
      <c r="E1125" s="945" t="s">
        <v>707</v>
      </c>
      <c r="F1125" s="946"/>
      <c r="G1125" s="945" t="s">
        <v>708</v>
      </c>
      <c r="H1125" s="964"/>
      <c r="I1125" s="6"/>
      <c r="J1125" s="273"/>
      <c r="K1125" s="273"/>
      <c r="L1125" s="273"/>
      <c r="M1125" s="273"/>
      <c r="N1125" s="273"/>
      <c r="O1125" s="273"/>
    </row>
    <row r="1126" spans="1:15" ht="15">
      <c r="A1126" s="99" t="s">
        <v>45</v>
      </c>
      <c r="B1126" s="137" t="s">
        <v>11</v>
      </c>
      <c r="C1126" s="981">
        <f>CEILING(67*$Z$1,0.1)</f>
        <v>83.80000000000001</v>
      </c>
      <c r="D1126" s="982"/>
      <c r="E1126" s="981">
        <f>CEILING(78*$Z$1,0.1)</f>
        <v>97.5</v>
      </c>
      <c r="F1126" s="982"/>
      <c r="G1126" s="981">
        <f>CEILING(67*$Z$1,0.1)</f>
        <v>83.80000000000001</v>
      </c>
      <c r="H1126" s="982"/>
      <c r="I1126" s="6"/>
      <c r="J1126" s="273"/>
      <c r="K1126" s="273"/>
      <c r="L1126" s="273"/>
      <c r="M1126" s="273"/>
      <c r="N1126" s="273"/>
      <c r="O1126" s="273"/>
    </row>
    <row r="1127" spans="1:15" ht="15">
      <c r="A1127" s="192" t="s">
        <v>6</v>
      </c>
      <c r="B1127" s="137" t="s">
        <v>7</v>
      </c>
      <c r="C1127" s="951">
        <f>CEILING(92*$Z$1,0.1)</f>
        <v>115</v>
      </c>
      <c r="D1127" s="952"/>
      <c r="E1127" s="951">
        <f>CEILING(103*$Z$1,0.1)</f>
        <v>128.8</v>
      </c>
      <c r="F1127" s="952"/>
      <c r="G1127" s="951">
        <f>CEILING(92*$Z$1,0.1)</f>
        <v>115</v>
      </c>
      <c r="H1127" s="952"/>
      <c r="I1127" s="6"/>
      <c r="J1127" s="273"/>
      <c r="K1127" s="273"/>
      <c r="L1127" s="273"/>
      <c r="M1127" s="273"/>
      <c r="N1127" s="273"/>
      <c r="O1127" s="273"/>
    </row>
    <row r="1128" spans="1:15" ht="14.25">
      <c r="A1128" s="112"/>
      <c r="B1128" s="114" t="s">
        <v>69</v>
      </c>
      <c r="C1128" s="951">
        <f>CEILING(57*$Z$1,0.1)</f>
        <v>71.3</v>
      </c>
      <c r="D1128" s="952"/>
      <c r="E1128" s="951">
        <f>CEILING(66*$Z$1,0.1)</f>
        <v>82.5</v>
      </c>
      <c r="F1128" s="952"/>
      <c r="G1128" s="951">
        <f>CEILING(57*$Z$1,0.1)</f>
        <v>71.3</v>
      </c>
      <c r="H1128" s="952"/>
      <c r="I1128" s="6"/>
      <c r="J1128" s="273"/>
      <c r="K1128" s="273"/>
      <c r="L1128" s="273"/>
      <c r="M1128" s="273"/>
      <c r="N1128" s="273"/>
      <c r="O1128" s="273"/>
    </row>
    <row r="1129" spans="1:15" ht="14.25">
      <c r="A1129" s="112"/>
      <c r="B1129" s="114" t="s">
        <v>584</v>
      </c>
      <c r="C1129" s="951">
        <f>CEILING(34*$Z$1,0.1)</f>
        <v>42.5</v>
      </c>
      <c r="D1129" s="952"/>
      <c r="E1129" s="951">
        <f>CEILING(39*$Z$1,0.1)</f>
        <v>48.800000000000004</v>
      </c>
      <c r="F1129" s="952"/>
      <c r="G1129" s="951">
        <f>CEILING(34*$Z$1,0.1)</f>
        <v>42.5</v>
      </c>
      <c r="H1129" s="952"/>
      <c r="I1129" s="6"/>
      <c r="J1129" s="273"/>
      <c r="K1129" s="273"/>
      <c r="L1129" s="273"/>
      <c r="M1129" s="273"/>
      <c r="N1129" s="273"/>
      <c r="O1129" s="273"/>
    </row>
    <row r="1130" spans="1:15" ht="14.25">
      <c r="A1130" s="112"/>
      <c r="B1130" s="114" t="s">
        <v>104</v>
      </c>
      <c r="C1130" s="947">
        <f>CEILING(77*$Z$1,0.1)</f>
        <v>96.30000000000001</v>
      </c>
      <c r="D1130" s="957"/>
      <c r="E1130" s="947">
        <f>CEILING(88*$Z$1,0.1)</f>
        <v>110</v>
      </c>
      <c r="F1130" s="957"/>
      <c r="G1130" s="947">
        <f>CEILING(77*$Z$1,0.1)</f>
        <v>96.30000000000001</v>
      </c>
      <c r="H1130" s="957"/>
      <c r="I1130" s="6"/>
      <c r="J1130" s="273"/>
      <c r="K1130" s="273"/>
      <c r="L1130" s="273"/>
      <c r="M1130" s="273"/>
      <c r="N1130" s="273"/>
      <c r="O1130" s="273"/>
    </row>
    <row r="1131" spans="1:15" ht="15.75" thickBot="1">
      <c r="A1131" s="235" t="s">
        <v>393</v>
      </c>
      <c r="B1131" s="648" t="s">
        <v>105</v>
      </c>
      <c r="C1131" s="967">
        <f>CEILING(102*$Z$1,0.1)</f>
        <v>127.5</v>
      </c>
      <c r="D1131" s="973"/>
      <c r="E1131" s="967">
        <f>CEILING(113*$Z$1,0.1)</f>
        <v>141.3</v>
      </c>
      <c r="F1131" s="973"/>
      <c r="G1131" s="967">
        <f>CEILING(102*$Z$1,0.1)</f>
        <v>127.5</v>
      </c>
      <c r="H1131" s="973"/>
      <c r="I1131" s="6"/>
      <c r="J1131" s="273"/>
      <c r="K1131" s="273"/>
      <c r="L1131" s="273"/>
      <c r="M1131" s="273"/>
      <c r="N1131" s="273"/>
      <c r="O1131" s="273"/>
    </row>
    <row r="1132" spans="1:15" ht="22.5" customHeight="1" thickBot="1" thickTop="1">
      <c r="A1132" s="468"/>
      <c r="B1132" s="158"/>
      <c r="C1132" s="457"/>
      <c r="D1132" s="457"/>
      <c r="E1132" s="457"/>
      <c r="F1132" s="457"/>
      <c r="G1132" s="457"/>
      <c r="H1132" s="457"/>
      <c r="I1132" s="7"/>
      <c r="J1132" s="273"/>
      <c r="K1132" s="273"/>
      <c r="L1132" s="273"/>
      <c r="M1132" s="273"/>
      <c r="N1132" s="273"/>
      <c r="O1132" s="273"/>
    </row>
    <row r="1133" spans="1:15" ht="24.75" customHeight="1" thickTop="1">
      <c r="A1133" s="697" t="s">
        <v>4</v>
      </c>
      <c r="B1133" s="11"/>
      <c r="C1133" s="945" t="s">
        <v>592</v>
      </c>
      <c r="D1133" s="946"/>
      <c r="E1133" s="945" t="s">
        <v>707</v>
      </c>
      <c r="F1133" s="946"/>
      <c r="G1133" s="945" t="s">
        <v>708</v>
      </c>
      <c r="H1133" s="964"/>
      <c r="I1133" s="6"/>
      <c r="J1133" s="273"/>
      <c r="K1133" s="273"/>
      <c r="L1133" s="273"/>
      <c r="M1133" s="273"/>
      <c r="N1133" s="273"/>
      <c r="O1133" s="273"/>
    </row>
    <row r="1134" spans="1:15" ht="15">
      <c r="A1134" s="269" t="s">
        <v>414</v>
      </c>
      <c r="B1134" s="355" t="s">
        <v>11</v>
      </c>
      <c r="C1134" s="981">
        <f>CEILING(50*$Z$1,0.1)</f>
        <v>62.5</v>
      </c>
      <c r="D1134" s="982"/>
      <c r="E1134" s="981">
        <f>CEILING(61*$Z$1,0.1)</f>
        <v>76.3</v>
      </c>
      <c r="F1134" s="982"/>
      <c r="G1134" s="981">
        <f>CEILING(50*$Z$1,0.1)</f>
        <v>62.5</v>
      </c>
      <c r="H1134" s="982"/>
      <c r="I1134" s="6"/>
      <c r="J1134" s="273"/>
      <c r="K1134" s="273"/>
      <c r="L1134" s="273"/>
      <c r="M1134" s="273"/>
      <c r="N1134" s="273"/>
      <c r="O1134" s="273"/>
    </row>
    <row r="1135" spans="1:15" ht="15">
      <c r="A1135" s="270" t="s">
        <v>18</v>
      </c>
      <c r="B1135" s="344" t="s">
        <v>7</v>
      </c>
      <c r="C1135" s="951">
        <f>CEILING((C1134+25*$Z$1),0.1)</f>
        <v>93.80000000000001</v>
      </c>
      <c r="D1135" s="952"/>
      <c r="E1135" s="951">
        <f>CEILING((E1134+25*$Z$1),0.1)</f>
        <v>107.60000000000001</v>
      </c>
      <c r="F1135" s="952"/>
      <c r="G1135" s="951">
        <f>CEILING((G1134+25*$Z$1),0.1)</f>
        <v>93.80000000000001</v>
      </c>
      <c r="H1135" s="952"/>
      <c r="I1135" s="7"/>
      <c r="J1135" s="273"/>
      <c r="K1135" s="273"/>
      <c r="L1135" s="273"/>
      <c r="M1135" s="273"/>
      <c r="N1135" s="273"/>
      <c r="O1135" s="273"/>
    </row>
    <row r="1136" spans="1:15" ht="14.25">
      <c r="A1136" s="475"/>
      <c r="B1136" s="232" t="s">
        <v>69</v>
      </c>
      <c r="C1136" s="1063">
        <f>CEILING((C1134*0.85),0.1)</f>
        <v>53.2</v>
      </c>
      <c r="D1136" s="1064"/>
      <c r="E1136" s="1063">
        <f>CEILING((E1134*0.85),0.1)</f>
        <v>64.9</v>
      </c>
      <c r="F1136" s="1064"/>
      <c r="G1136" s="1063">
        <f>CEILING((G1134*0.85),0.1)</f>
        <v>53.2</v>
      </c>
      <c r="H1136" s="1064"/>
      <c r="I1136" s="7"/>
      <c r="J1136" s="273"/>
      <c r="K1136" s="273"/>
      <c r="L1136" s="273"/>
      <c r="M1136" s="273"/>
      <c r="N1136" s="273"/>
      <c r="O1136" s="273"/>
    </row>
    <row r="1137" spans="1:15" ht="14.25">
      <c r="A1137" s="470"/>
      <c r="B1137" s="340" t="s">
        <v>101</v>
      </c>
      <c r="C1137" s="1063">
        <f>CEILING((C1134*0.5),0.1)</f>
        <v>31.3</v>
      </c>
      <c r="D1137" s="1064"/>
      <c r="E1137" s="1063">
        <f>CEILING((E1134*0.5),0.1)</f>
        <v>38.2</v>
      </c>
      <c r="F1137" s="1064"/>
      <c r="G1137" s="1063">
        <f>CEILING((G1134*0.5),0.1)</f>
        <v>31.3</v>
      </c>
      <c r="H1137" s="1064"/>
      <c r="I1137" s="7"/>
      <c r="J1137" s="273"/>
      <c r="K1137" s="273"/>
      <c r="L1137" s="273"/>
      <c r="M1137" s="273"/>
      <c r="N1137" s="273"/>
      <c r="O1137" s="273"/>
    </row>
    <row r="1138" spans="1:15" ht="14.25">
      <c r="A1138" s="470"/>
      <c r="B1138" s="237" t="s">
        <v>10</v>
      </c>
      <c r="C1138" s="947">
        <f>CEILING(90*$Z$1,0.1)</f>
        <v>112.5</v>
      </c>
      <c r="D1138" s="957"/>
      <c r="E1138" s="947">
        <f>CEILING(101*$Z$1,0.1)</f>
        <v>126.30000000000001</v>
      </c>
      <c r="F1138" s="957"/>
      <c r="G1138" s="947">
        <f>CEILING(90*$Z$1,0.1)</f>
        <v>112.5</v>
      </c>
      <c r="H1138" s="957"/>
      <c r="I1138" s="7"/>
      <c r="J1138" s="273"/>
      <c r="K1138" s="273"/>
      <c r="L1138" s="273"/>
      <c r="M1138" s="273"/>
      <c r="N1138" s="273"/>
      <c r="O1138" s="273"/>
    </row>
    <row r="1139" spans="1:15" ht="15" thickBot="1">
      <c r="A1139" s="359" t="s">
        <v>269</v>
      </c>
      <c r="B1139" s="358" t="s">
        <v>15</v>
      </c>
      <c r="C1139" s="958">
        <f>CEILING((C1138+40*$Z$1),0.1)</f>
        <v>162.5</v>
      </c>
      <c r="D1139" s="959"/>
      <c r="E1139" s="958">
        <f>CEILING((E1138+40*$Z$1),0.1)</f>
        <v>176.3</v>
      </c>
      <c r="F1139" s="959"/>
      <c r="G1139" s="958">
        <f>CEILING((G1138+40*$Z$1),0.1)</f>
        <v>162.5</v>
      </c>
      <c r="H1139" s="959"/>
      <c r="I1139" s="7"/>
      <c r="J1139" s="273"/>
      <c r="K1139" s="273"/>
      <c r="L1139" s="273"/>
      <c r="M1139" s="273"/>
      <c r="N1139" s="273"/>
      <c r="O1139" s="273"/>
    </row>
    <row r="1140" spans="1:15" ht="24.75" customHeight="1" thickBot="1" thickTop="1">
      <c r="A1140" s="66"/>
      <c r="B1140" s="158"/>
      <c r="C1140" s="457"/>
      <c r="D1140" s="457"/>
      <c r="E1140" s="457"/>
      <c r="F1140" s="457"/>
      <c r="G1140" s="457"/>
      <c r="H1140" s="457"/>
      <c r="I1140" s="7"/>
      <c r="J1140" s="273"/>
      <c r="K1140" s="273"/>
      <c r="L1140" s="273"/>
      <c r="M1140" s="273"/>
      <c r="N1140" s="273"/>
      <c r="O1140" s="273"/>
    </row>
    <row r="1141" spans="1:15" ht="23.25" customHeight="1" thickTop="1">
      <c r="A1141" s="697" t="s">
        <v>4</v>
      </c>
      <c r="B1141" s="11"/>
      <c r="C1141" s="945" t="s">
        <v>592</v>
      </c>
      <c r="D1141" s="946"/>
      <c r="E1141" s="945" t="s">
        <v>707</v>
      </c>
      <c r="F1141" s="946"/>
      <c r="G1141" s="945" t="s">
        <v>708</v>
      </c>
      <c r="H1141" s="946"/>
      <c r="I1141" s="7"/>
      <c r="J1141" s="273"/>
      <c r="K1141" s="273"/>
      <c r="L1141" s="273"/>
      <c r="M1141" s="273"/>
      <c r="N1141" s="273"/>
      <c r="O1141" s="273"/>
    </row>
    <row r="1142" spans="1:15" ht="15.75" customHeight="1">
      <c r="A1142" s="99" t="s">
        <v>273</v>
      </c>
      <c r="B1142" s="137" t="s">
        <v>11</v>
      </c>
      <c r="C1142" s="1061">
        <f>CEILING(54*$Z$1,0.1)</f>
        <v>67.5</v>
      </c>
      <c r="D1142" s="1062"/>
      <c r="E1142" s="1061">
        <f>CEILING(64*$Z$1,0.1)</f>
        <v>80</v>
      </c>
      <c r="F1142" s="1062"/>
      <c r="G1142" s="1061">
        <f>CEILING(54*$Z$1,0.1)</f>
        <v>67.5</v>
      </c>
      <c r="H1142" s="1062"/>
      <c r="I1142" s="6"/>
      <c r="J1142" s="273"/>
      <c r="K1142" s="273"/>
      <c r="L1142" s="273"/>
      <c r="M1142" s="273"/>
      <c r="N1142" s="273"/>
      <c r="O1142" s="273"/>
    </row>
    <row r="1143" spans="1:15" ht="15.75" customHeight="1">
      <c r="A1143" s="192" t="s">
        <v>18</v>
      </c>
      <c r="B1143" s="137" t="s">
        <v>7</v>
      </c>
      <c r="C1143" s="1063">
        <f>CEILING((C1142+20*$Z$1),0.1)</f>
        <v>92.5</v>
      </c>
      <c r="D1143" s="1064"/>
      <c r="E1143" s="1063">
        <f>CEILING((E1142+20*$Z$1),0.1)</f>
        <v>105</v>
      </c>
      <c r="F1143" s="1064"/>
      <c r="G1143" s="1063">
        <f>CEILING((G1142+20*$Z$1),0.1)</f>
        <v>92.5</v>
      </c>
      <c r="H1143" s="1064"/>
      <c r="I1143" s="7"/>
      <c r="J1143" s="273"/>
      <c r="K1143" s="273"/>
      <c r="L1143" s="273"/>
      <c r="M1143" s="273"/>
      <c r="N1143" s="273"/>
      <c r="O1143" s="273"/>
    </row>
    <row r="1144" spans="1:15" ht="14.25">
      <c r="A1144" s="112"/>
      <c r="B1144" s="114" t="s">
        <v>69</v>
      </c>
      <c r="C1144" s="1063">
        <f>CEILING(46*$Z$1,0.1)</f>
        <v>57.5</v>
      </c>
      <c r="D1144" s="1064"/>
      <c r="E1144" s="1063">
        <f>CEILING(54*$Z$1,0.1)</f>
        <v>67.5</v>
      </c>
      <c r="F1144" s="1064"/>
      <c r="G1144" s="1063">
        <f>CEILING(46*$Z$1,0.1)</f>
        <v>57.5</v>
      </c>
      <c r="H1144" s="1064"/>
      <c r="I1144" s="7"/>
      <c r="J1144" s="273"/>
      <c r="K1144" s="273"/>
      <c r="L1144" s="273"/>
      <c r="M1144" s="273"/>
      <c r="N1144" s="273"/>
      <c r="O1144" s="273"/>
    </row>
    <row r="1145" spans="1:15" ht="15.75" thickBot="1">
      <c r="A1145" s="235" t="s">
        <v>857</v>
      </c>
      <c r="B1145" s="366" t="s">
        <v>97</v>
      </c>
      <c r="C1145" s="1035">
        <f>CEILING(27*$Z$1,0.1)</f>
        <v>33.800000000000004</v>
      </c>
      <c r="D1145" s="1036"/>
      <c r="E1145" s="1035">
        <f>CEILING(32*$Z$1,0.1)</f>
        <v>40</v>
      </c>
      <c r="F1145" s="1036"/>
      <c r="G1145" s="1035">
        <f>CEILING(27*$Z$1,0.1)</f>
        <v>33.800000000000004</v>
      </c>
      <c r="H1145" s="1036"/>
      <c r="I1145" s="7"/>
      <c r="J1145" s="273"/>
      <c r="K1145" s="273"/>
      <c r="L1145" s="273"/>
      <c r="M1145" s="273"/>
      <c r="N1145" s="273"/>
      <c r="O1145" s="273"/>
    </row>
    <row r="1146" spans="1:15" ht="24" customHeight="1" thickBot="1" thickTop="1">
      <c r="A1146" s="367"/>
      <c r="B1146" s="368"/>
      <c r="C1146" s="445"/>
      <c r="D1146" s="445"/>
      <c r="E1146" s="445"/>
      <c r="F1146" s="445"/>
      <c r="G1146" s="445"/>
      <c r="H1146" s="445"/>
      <c r="I1146" s="7"/>
      <c r="J1146" s="273"/>
      <c r="K1146" s="273"/>
      <c r="L1146" s="273"/>
      <c r="M1146" s="273"/>
      <c r="N1146" s="273"/>
      <c r="O1146" s="273"/>
    </row>
    <row r="1147" spans="1:15" ht="23.25" customHeight="1" thickTop="1">
      <c r="A1147" s="697" t="s">
        <v>4</v>
      </c>
      <c r="B1147" s="11"/>
      <c r="C1147" s="945" t="s">
        <v>592</v>
      </c>
      <c r="D1147" s="946"/>
      <c r="E1147" s="945" t="s">
        <v>707</v>
      </c>
      <c r="F1147" s="946"/>
      <c r="G1147" s="945" t="s">
        <v>708</v>
      </c>
      <c r="H1147" s="946"/>
      <c r="I1147" s="6"/>
      <c r="J1147" s="273"/>
      <c r="K1147" s="273"/>
      <c r="L1147" s="273"/>
      <c r="M1147" s="273"/>
      <c r="N1147" s="273"/>
      <c r="O1147" s="273"/>
    </row>
    <row r="1148" spans="1:15" ht="15">
      <c r="A1148" s="242" t="s">
        <v>140</v>
      </c>
      <c r="B1148" s="446" t="s">
        <v>141</v>
      </c>
      <c r="C1148" s="990">
        <f>CEILING(66*$Z$1,0.1)</f>
        <v>82.5</v>
      </c>
      <c r="D1148" s="997"/>
      <c r="E1148" s="990">
        <f>CEILING(72*$Z$1,0.1)</f>
        <v>90</v>
      </c>
      <c r="F1148" s="997"/>
      <c r="G1148" s="990">
        <f>CEILING(66*$Z$1,0.1)</f>
        <v>82.5</v>
      </c>
      <c r="H1148" s="997"/>
      <c r="I1148" s="6"/>
      <c r="J1148" s="273"/>
      <c r="K1148" s="273"/>
      <c r="L1148" s="273"/>
      <c r="M1148" s="273"/>
      <c r="N1148" s="273"/>
      <c r="O1148" s="273"/>
    </row>
    <row r="1149" spans="1:15" ht="14.25">
      <c r="A1149" s="243"/>
      <c r="B1149" s="347" t="s">
        <v>142</v>
      </c>
      <c r="C1149" s="947">
        <f>CEILING(81*$Z$1,0.1)</f>
        <v>101.30000000000001</v>
      </c>
      <c r="D1149" s="948"/>
      <c r="E1149" s="947">
        <f>CEILING(87*$Z$1,0.1)</f>
        <v>108.80000000000001</v>
      </c>
      <c r="F1149" s="948"/>
      <c r="G1149" s="947">
        <f>CEILING(81*$Z$1,0.1)</f>
        <v>101.30000000000001</v>
      </c>
      <c r="H1149" s="948"/>
      <c r="I1149" s="6"/>
      <c r="J1149" s="273"/>
      <c r="K1149" s="273"/>
      <c r="L1149" s="273"/>
      <c r="M1149" s="273"/>
      <c r="N1149" s="273"/>
      <c r="O1149" s="273"/>
    </row>
    <row r="1150" spans="1:15" ht="15">
      <c r="A1150" s="61"/>
      <c r="B1150" s="232" t="s">
        <v>2</v>
      </c>
      <c r="C1150" s="949">
        <v>0</v>
      </c>
      <c r="D1150" s="950"/>
      <c r="E1150" s="949">
        <v>0</v>
      </c>
      <c r="F1150" s="950"/>
      <c r="G1150" s="949">
        <v>0</v>
      </c>
      <c r="H1150" s="950"/>
      <c r="I1150" s="6"/>
      <c r="J1150" s="273"/>
      <c r="K1150" s="273"/>
      <c r="L1150" s="273"/>
      <c r="M1150" s="273"/>
      <c r="N1150" s="273"/>
      <c r="O1150" s="273"/>
    </row>
    <row r="1151" spans="1:15" ht="15">
      <c r="A1151" s="61"/>
      <c r="B1151" s="164" t="s">
        <v>143</v>
      </c>
      <c r="C1151" s="947">
        <f>CEILING(68*$Z$1,0.1)</f>
        <v>85</v>
      </c>
      <c r="D1151" s="948"/>
      <c r="E1151" s="947">
        <f>CEILING(74*$Z$1,0.1)</f>
        <v>92.5</v>
      </c>
      <c r="F1151" s="948"/>
      <c r="G1151" s="947">
        <f>CEILING(68*$Z$1,0.1)</f>
        <v>85</v>
      </c>
      <c r="H1151" s="948"/>
      <c r="I1151" s="6"/>
      <c r="J1151" s="273"/>
      <c r="K1151" s="273"/>
      <c r="L1151" s="273"/>
      <c r="M1151" s="273"/>
      <c r="N1151" s="273"/>
      <c r="O1151" s="273"/>
    </row>
    <row r="1152" spans="1:15" ht="15">
      <c r="A1152" s="61"/>
      <c r="B1152" s="164" t="s">
        <v>144</v>
      </c>
      <c r="C1152" s="947">
        <f>CEILING(83*$Z$1,0.1)</f>
        <v>103.80000000000001</v>
      </c>
      <c r="D1152" s="948"/>
      <c r="E1152" s="947">
        <f>CEILING(89*$Z$1,0.1)</f>
        <v>111.30000000000001</v>
      </c>
      <c r="F1152" s="948"/>
      <c r="G1152" s="947">
        <f>CEILING(83*$Z$1,0.1)</f>
        <v>103.80000000000001</v>
      </c>
      <c r="H1152" s="948"/>
      <c r="I1152" s="6"/>
      <c r="J1152" s="273"/>
      <c r="K1152" s="273"/>
      <c r="L1152" s="273"/>
      <c r="M1152" s="273"/>
      <c r="N1152" s="273"/>
      <c r="O1152" s="273"/>
    </row>
    <row r="1153" spans="1:15" ht="15">
      <c r="A1153" s="61"/>
      <c r="B1153" s="164" t="s">
        <v>585</v>
      </c>
      <c r="C1153" s="947">
        <f>CEILING(54*$Z$1,0.1)</f>
        <v>67.5</v>
      </c>
      <c r="D1153" s="948"/>
      <c r="E1153" s="947">
        <f>CEILING(59*$Z$1,0.1)</f>
        <v>73.8</v>
      </c>
      <c r="F1153" s="948"/>
      <c r="G1153" s="947">
        <f>CEILING(54*$Z$1,0.1)</f>
        <v>67.5</v>
      </c>
      <c r="H1153" s="948"/>
      <c r="I1153" s="6"/>
      <c r="J1153" s="273"/>
      <c r="K1153" s="273"/>
      <c r="L1153" s="273"/>
      <c r="M1153" s="273"/>
      <c r="N1153" s="273"/>
      <c r="O1153" s="273"/>
    </row>
    <row r="1154" spans="1:15" ht="15" thickBot="1">
      <c r="A1154" s="214" t="s">
        <v>501</v>
      </c>
      <c r="B1154" s="336" t="s">
        <v>145</v>
      </c>
      <c r="C1154" s="958">
        <f>CEILING(71*$Z$1,0.1)</f>
        <v>88.80000000000001</v>
      </c>
      <c r="D1154" s="1040"/>
      <c r="E1154" s="958">
        <f>CEILING(77*$Z$1,0.1)</f>
        <v>96.30000000000001</v>
      </c>
      <c r="F1154" s="1040"/>
      <c r="G1154" s="958">
        <f>CEILING(71*$Z$1,0.1)</f>
        <v>88.80000000000001</v>
      </c>
      <c r="H1154" s="1040"/>
      <c r="I1154" s="6"/>
      <c r="J1154" s="273"/>
      <c r="K1154" s="273"/>
      <c r="L1154" s="273"/>
      <c r="M1154" s="273"/>
      <c r="N1154" s="273"/>
      <c r="O1154" s="273"/>
    </row>
    <row r="1155" spans="1:15" ht="23.25" customHeight="1" thickBot="1" thickTop="1">
      <c r="A1155" s="341"/>
      <c r="B1155" s="342"/>
      <c r="C1155" s="342"/>
      <c r="D1155" s="342"/>
      <c r="E1155" s="342"/>
      <c r="F1155" s="342"/>
      <c r="G1155" s="342"/>
      <c r="H1155" s="342"/>
      <c r="I1155" s="7"/>
      <c r="J1155" s="273"/>
      <c r="K1155" s="273"/>
      <c r="L1155" s="273"/>
      <c r="M1155" s="273"/>
      <c r="N1155" s="273"/>
      <c r="O1155" s="273"/>
    </row>
    <row r="1156" spans="1:15" ht="22.5" customHeight="1" thickTop="1">
      <c r="A1156" s="5" t="s">
        <v>4</v>
      </c>
      <c r="B1156" s="11"/>
      <c r="C1156" s="945" t="s">
        <v>592</v>
      </c>
      <c r="D1156" s="946"/>
      <c r="E1156" s="945" t="s">
        <v>707</v>
      </c>
      <c r="F1156" s="946"/>
      <c r="G1156" s="945" t="s">
        <v>708</v>
      </c>
      <c r="H1156" s="946"/>
      <c r="I1156" s="6"/>
      <c r="J1156" s="273"/>
      <c r="K1156" s="273"/>
      <c r="L1156" s="273"/>
      <c r="M1156" s="273"/>
      <c r="N1156" s="273"/>
      <c r="O1156" s="273"/>
    </row>
    <row r="1157" spans="1:15" ht="15">
      <c r="A1157" s="242" t="s">
        <v>146</v>
      </c>
      <c r="B1157" s="446" t="s">
        <v>147</v>
      </c>
      <c r="C1157" s="990">
        <f>CEILING(37.5*$Z$1,0.1)</f>
        <v>46.900000000000006</v>
      </c>
      <c r="D1157" s="997"/>
      <c r="E1157" s="990">
        <f>CEILING(40.5*$Z$1,0.1)</f>
        <v>50.7</v>
      </c>
      <c r="F1157" s="997"/>
      <c r="G1157" s="990">
        <f>CEILING(37.5*$Z$1,0.1)</f>
        <v>46.900000000000006</v>
      </c>
      <c r="H1157" s="997"/>
      <c r="I1157" s="6"/>
      <c r="J1157" s="273"/>
      <c r="K1157" s="273"/>
      <c r="L1157" s="273"/>
      <c r="M1157" s="273"/>
      <c r="N1157" s="273"/>
      <c r="O1157" s="273"/>
    </row>
    <row r="1158" spans="1:15" ht="14.25">
      <c r="A1158" s="243"/>
      <c r="B1158" s="347" t="s">
        <v>148</v>
      </c>
      <c r="C1158" s="947">
        <f>CEILING(50*$Z$1,0.1)</f>
        <v>62.5</v>
      </c>
      <c r="D1158" s="948"/>
      <c r="E1158" s="947">
        <f>CEILING(53*$Z$1,0.1)</f>
        <v>66.3</v>
      </c>
      <c r="F1158" s="948"/>
      <c r="G1158" s="947">
        <f>CEILING(50*$Z$1,0.1)</f>
        <v>62.5</v>
      </c>
      <c r="H1158" s="948"/>
      <c r="I1158" s="6"/>
      <c r="J1158" s="273"/>
      <c r="K1158" s="273"/>
      <c r="L1158" s="273"/>
      <c r="M1158" s="273"/>
      <c r="N1158" s="273"/>
      <c r="O1158" s="273"/>
    </row>
    <row r="1159" spans="1:15" ht="15">
      <c r="A1159" s="67" t="s">
        <v>24</v>
      </c>
      <c r="B1159" s="232" t="s">
        <v>2</v>
      </c>
      <c r="C1159" s="949">
        <v>0</v>
      </c>
      <c r="D1159" s="950"/>
      <c r="E1159" s="949">
        <v>0</v>
      </c>
      <c r="F1159" s="950"/>
      <c r="G1159" s="949">
        <v>0</v>
      </c>
      <c r="H1159" s="950"/>
      <c r="I1159" s="6"/>
      <c r="J1159" s="273"/>
      <c r="K1159" s="273"/>
      <c r="L1159" s="273"/>
      <c r="M1159" s="273"/>
      <c r="N1159" s="273"/>
      <c r="O1159" s="273"/>
    </row>
    <row r="1160" spans="1:15" ht="15.75" customHeight="1">
      <c r="A1160" s="61"/>
      <c r="B1160" s="164" t="s">
        <v>82</v>
      </c>
      <c r="C1160" s="947">
        <f>CEILING(40.5*$Z$1,0.1)</f>
        <v>50.7</v>
      </c>
      <c r="D1160" s="948"/>
      <c r="E1160" s="947">
        <f>CEILING(44.5*$Z$1,0.1)</f>
        <v>55.7</v>
      </c>
      <c r="F1160" s="948"/>
      <c r="G1160" s="947">
        <f>CEILING(40.5*$Z$1,0.1)</f>
        <v>50.7</v>
      </c>
      <c r="H1160" s="948"/>
      <c r="I1160" s="6"/>
      <c r="J1160" s="273"/>
      <c r="K1160" s="273"/>
      <c r="L1160" s="273"/>
      <c r="M1160" s="286"/>
      <c r="N1160" s="286"/>
      <c r="O1160" s="286"/>
    </row>
    <row r="1161" spans="1:15" ht="15">
      <c r="A1161" s="61"/>
      <c r="B1161" s="164" t="s">
        <v>83</v>
      </c>
      <c r="C1161" s="947">
        <f>CEILING(51*$Z$1,0.1)</f>
        <v>63.800000000000004</v>
      </c>
      <c r="D1161" s="948"/>
      <c r="E1161" s="947">
        <f>CEILING(55*$Z$1,0.1)</f>
        <v>68.8</v>
      </c>
      <c r="F1161" s="948"/>
      <c r="G1161" s="947">
        <f>CEILING(51*$Z$1,0.1)</f>
        <v>63.800000000000004</v>
      </c>
      <c r="H1161" s="948"/>
      <c r="I1161" s="6"/>
      <c r="J1161" s="273"/>
      <c r="K1161" s="273"/>
      <c r="L1161" s="273"/>
      <c r="M1161" s="286"/>
      <c r="N1161" s="286"/>
      <c r="O1161" s="286"/>
    </row>
    <row r="1162" spans="1:15" ht="15">
      <c r="A1162" s="61"/>
      <c r="B1162" s="236" t="s">
        <v>379</v>
      </c>
      <c r="C1162" s="947">
        <f>CEILING(34*$Z$1,0.1)</f>
        <v>42.5</v>
      </c>
      <c r="D1162" s="948"/>
      <c r="E1162" s="947">
        <f>CEILING(38*$Z$1,0.1)</f>
        <v>47.5</v>
      </c>
      <c r="F1162" s="948"/>
      <c r="G1162" s="947">
        <f>CEILING(34*$Z$1,0.1)</f>
        <v>42.5</v>
      </c>
      <c r="H1162" s="948"/>
      <c r="I1162" s="6"/>
      <c r="J1162" s="273"/>
      <c r="K1162" s="273"/>
      <c r="L1162" s="273"/>
      <c r="M1162" s="286"/>
      <c r="N1162" s="286"/>
      <c r="O1162" s="286"/>
    </row>
    <row r="1163" spans="1:15" ht="15" thickBot="1">
      <c r="A1163" s="214" t="s">
        <v>501</v>
      </c>
      <c r="B1163" s="879" t="s">
        <v>145</v>
      </c>
      <c r="C1163" s="958">
        <f>CEILING(43.5*$Z$1,0.1)</f>
        <v>54.400000000000006</v>
      </c>
      <c r="D1163" s="1040"/>
      <c r="E1163" s="958">
        <f>CEILING(47.5*$Z$1,0.1)</f>
        <v>59.400000000000006</v>
      </c>
      <c r="F1163" s="1040"/>
      <c r="G1163" s="958">
        <f>CEILING(43.5*$Z$1,0.1)</f>
        <v>54.400000000000006</v>
      </c>
      <c r="H1163" s="1040"/>
      <c r="I1163" s="6"/>
      <c r="J1163" s="273"/>
      <c r="K1163" s="273"/>
      <c r="L1163" s="273"/>
      <c r="M1163" s="286"/>
      <c r="N1163" s="286"/>
      <c r="O1163" s="286"/>
    </row>
    <row r="1164" spans="1:15" ht="18.75" customHeight="1" thickTop="1">
      <c r="A1164" s="65"/>
      <c r="B1164" s="212"/>
      <c r="C1164" s="45"/>
      <c r="D1164" s="45"/>
      <c r="E1164" s="45"/>
      <c r="F1164" s="45"/>
      <c r="G1164" s="45"/>
      <c r="H1164" s="45"/>
      <c r="I1164" s="7"/>
      <c r="J1164" s="273"/>
      <c r="K1164" s="273"/>
      <c r="L1164" s="273"/>
      <c r="M1164" s="273"/>
      <c r="N1164" s="273"/>
      <c r="O1164" s="273"/>
    </row>
    <row r="1165" spans="1:25" ht="15.75" customHeight="1">
      <c r="A1165" s="1010" t="s">
        <v>693</v>
      </c>
      <c r="B1165" s="1010"/>
      <c r="C1165" s="1010"/>
      <c r="D1165" s="1010"/>
      <c r="E1165" s="1010"/>
      <c r="F1165" s="1010"/>
      <c r="G1165" s="1010"/>
      <c r="H1165" s="1010"/>
      <c r="I1165" s="1010"/>
      <c r="J1165" s="1010"/>
      <c r="K1165" s="588"/>
      <c r="L1165" s="588"/>
      <c r="M1165" s="273"/>
      <c r="N1165" s="273"/>
      <c r="O1165" s="273"/>
      <c r="P1165" s="273"/>
      <c r="Q1165" s="136"/>
      <c r="R1165" s="136"/>
      <c r="S1165" s="136"/>
      <c r="T1165" s="136"/>
      <c r="U1165" s="136"/>
      <c r="V1165" s="136"/>
      <c r="W1165" s="136"/>
      <c r="X1165" s="136"/>
      <c r="Y1165" s="136"/>
    </row>
    <row r="1166" spans="1:25" ht="17.25" customHeight="1">
      <c r="A1166" s="1010" t="s">
        <v>694</v>
      </c>
      <c r="B1166" s="1010"/>
      <c r="C1166" s="1010"/>
      <c r="D1166" s="1010"/>
      <c r="E1166" s="1010"/>
      <c r="F1166" s="1010"/>
      <c r="G1166" s="1010"/>
      <c r="H1166" s="1010"/>
      <c r="I1166" s="1010"/>
      <c r="J1166" s="1010"/>
      <c r="K1166" s="588"/>
      <c r="L1166" s="588"/>
      <c r="M1166" s="273"/>
      <c r="N1166" s="273"/>
      <c r="O1166" s="273"/>
      <c r="P1166" s="273"/>
      <c r="Q1166" s="136"/>
      <c r="R1166" s="136"/>
      <c r="S1166" s="136"/>
      <c r="T1166" s="136"/>
      <c r="U1166" s="136"/>
      <c r="V1166" s="136"/>
      <c r="W1166" s="136"/>
      <c r="X1166" s="136"/>
      <c r="Y1166" s="136"/>
    </row>
    <row r="1167" spans="1:25" ht="19.5" customHeight="1">
      <c r="A1167" s="1158" t="s">
        <v>892</v>
      </c>
      <c r="B1167" s="1158"/>
      <c r="C1167" s="1158"/>
      <c r="D1167" s="1158"/>
      <c r="E1167" s="1158"/>
      <c r="F1167" s="1158"/>
      <c r="G1167" s="1158"/>
      <c r="H1167" s="1158"/>
      <c r="I1167" s="1158"/>
      <c r="J1167" s="1158"/>
      <c r="K1167" s="588"/>
      <c r="L1167" s="588"/>
      <c r="M1167" s="273"/>
      <c r="N1167" s="273"/>
      <c r="O1167" s="273"/>
      <c r="P1167" s="273"/>
      <c r="Q1167" s="136"/>
      <c r="R1167" s="136"/>
      <c r="S1167" s="136"/>
      <c r="T1167" s="136"/>
      <c r="U1167" s="136"/>
      <c r="V1167" s="136"/>
      <c r="W1167" s="136"/>
      <c r="X1167" s="136"/>
      <c r="Y1167" s="136"/>
    </row>
    <row r="1168" spans="1:25" ht="18.75" customHeight="1">
      <c r="A1168" s="1010" t="s">
        <v>764</v>
      </c>
      <c r="B1168" s="1010"/>
      <c r="C1168" s="1010"/>
      <c r="D1168" s="1010"/>
      <c r="E1168" s="1010"/>
      <c r="F1168" s="1010"/>
      <c r="G1168" s="1010"/>
      <c r="H1168" s="1010"/>
      <c r="I1168" s="1010"/>
      <c r="J1168" s="1010"/>
      <c r="K1168" s="588"/>
      <c r="L1168" s="586"/>
      <c r="M1168" s="273"/>
      <c r="N1168" s="273"/>
      <c r="O1168" s="273"/>
      <c r="P1168" s="273"/>
      <c r="Q1168" s="136"/>
      <c r="R1168" s="136"/>
      <c r="S1168" s="136"/>
      <c r="T1168" s="136"/>
      <c r="U1168" s="136"/>
      <c r="V1168" s="136"/>
      <c r="W1168" s="136"/>
      <c r="X1168" s="136"/>
      <c r="Y1168" s="136"/>
    </row>
    <row r="1169" spans="1:15" ht="14.25">
      <c r="A1169" s="7"/>
      <c r="B1169" s="7"/>
      <c r="C1169" s="7"/>
      <c r="D1169" s="7"/>
      <c r="E1169" s="7"/>
      <c r="F1169" s="1"/>
      <c r="G1169" s="1"/>
      <c r="H1169" s="1"/>
      <c r="I1169" s="7"/>
      <c r="J1169" s="273"/>
      <c r="K1169" s="273"/>
      <c r="L1169" s="273"/>
      <c r="M1169" s="273"/>
      <c r="N1169" s="273"/>
      <c r="O1169" s="273"/>
    </row>
    <row r="1170" spans="1:15" ht="21" customHeight="1">
      <c r="A1170" s="1039" t="s">
        <v>34</v>
      </c>
      <c r="B1170" s="1039"/>
      <c r="C1170" s="1039"/>
      <c r="D1170" s="1039"/>
      <c r="E1170" s="1039"/>
      <c r="F1170" s="1039"/>
      <c r="G1170" s="1039"/>
      <c r="H1170" s="1039"/>
      <c r="I1170" s="7"/>
      <c r="J1170" s="273"/>
      <c r="K1170" s="273"/>
      <c r="L1170" s="273"/>
      <c r="M1170" s="273"/>
      <c r="N1170" s="273"/>
      <c r="O1170" s="273"/>
    </row>
    <row r="1171" spans="1:15" ht="15" thickBot="1">
      <c r="A1171" s="10"/>
      <c r="B1171" s="10"/>
      <c r="C1171" s="10"/>
      <c r="D1171" s="10"/>
      <c r="E1171" s="7"/>
      <c r="F1171" s="7"/>
      <c r="G1171" s="7"/>
      <c r="H1171" s="7"/>
      <c r="I1171" s="7"/>
      <c r="J1171" s="273"/>
      <c r="K1171" s="273"/>
      <c r="L1171" s="273"/>
      <c r="M1171" s="273"/>
      <c r="N1171" s="273"/>
      <c r="O1171" s="273"/>
    </row>
    <row r="1172" spans="1:15" ht="18" customHeight="1" thickTop="1">
      <c r="A1172" s="1000" t="s">
        <v>4</v>
      </c>
      <c r="B1172" s="75"/>
      <c r="C1172" s="1030" t="s">
        <v>625</v>
      </c>
      <c r="D1172" s="1048"/>
      <c r="E1172" s="1065"/>
      <c r="F1172" s="1066"/>
      <c r="G1172" s="976"/>
      <c r="H1172" s="976"/>
      <c r="I1172" s="7"/>
      <c r="J1172" s="273"/>
      <c r="K1172" s="273"/>
      <c r="L1172" s="273"/>
      <c r="M1172" s="273"/>
      <c r="N1172" s="273"/>
      <c r="O1172" s="273"/>
    </row>
    <row r="1173" spans="1:15" ht="16.5" customHeight="1">
      <c r="A1173" s="1001"/>
      <c r="B1173" s="113"/>
      <c r="C1173" s="82" t="s">
        <v>70</v>
      </c>
      <c r="D1173" s="83" t="s">
        <v>68</v>
      </c>
      <c r="E1173" s="487"/>
      <c r="F1173" s="486"/>
      <c r="G1173" s="486"/>
      <c r="H1173" s="486"/>
      <c r="I1173" s="7"/>
      <c r="J1173" s="273"/>
      <c r="K1173" s="273"/>
      <c r="L1173" s="273"/>
      <c r="M1173" s="273"/>
      <c r="N1173" s="273"/>
      <c r="O1173" s="273"/>
    </row>
    <row r="1174" spans="1:15" ht="15">
      <c r="A1174" s="244" t="s">
        <v>88</v>
      </c>
      <c r="B1174" s="420" t="s">
        <v>11</v>
      </c>
      <c r="C1174" s="881">
        <f>CEILING(65*$Z$1,0.1)</f>
        <v>81.30000000000001</v>
      </c>
      <c r="D1174" s="485"/>
      <c r="E1174" s="663"/>
      <c r="F1174" s="664"/>
      <c r="G1174" s="664"/>
      <c r="H1174" s="664"/>
      <c r="I1174" s="29"/>
      <c r="J1174" s="273"/>
      <c r="K1174" s="273"/>
      <c r="L1174" s="273"/>
      <c r="M1174" s="273"/>
      <c r="N1174" s="273"/>
      <c r="O1174" s="273"/>
    </row>
    <row r="1175" spans="1:15" ht="18.75" customHeight="1">
      <c r="A1175" s="21" t="s">
        <v>6</v>
      </c>
      <c r="B1175" s="297" t="s">
        <v>7</v>
      </c>
      <c r="C1175" s="882">
        <f>CEILING((C1174+55*$Z$1),0.1)</f>
        <v>150.1</v>
      </c>
      <c r="D1175" s="8"/>
      <c r="E1175" s="663"/>
      <c r="F1175" s="664"/>
      <c r="G1175" s="664"/>
      <c r="H1175" s="664"/>
      <c r="I1175" s="29"/>
      <c r="J1175" s="273"/>
      <c r="K1175" s="273"/>
      <c r="L1175" s="273"/>
      <c r="M1175" s="273"/>
      <c r="N1175" s="273"/>
      <c r="O1175" s="273"/>
    </row>
    <row r="1176" spans="1:27" ht="16.5" customHeight="1">
      <c r="A1176" s="21"/>
      <c r="B1176" s="416" t="s">
        <v>69</v>
      </c>
      <c r="C1176" s="882">
        <f>CEILING((C1174*0.85),0.1)</f>
        <v>69.2</v>
      </c>
      <c r="D1176" s="8"/>
      <c r="E1176" s="663"/>
      <c r="F1176" s="664"/>
      <c r="G1176" s="664"/>
      <c r="H1176" s="664"/>
      <c r="I1176" s="29"/>
      <c r="J1176" s="273"/>
      <c r="K1176" s="273"/>
      <c r="L1176" s="273"/>
      <c r="M1176" s="96"/>
      <c r="N1176" s="96"/>
      <c r="O1176" s="96"/>
      <c r="P1176" s="273"/>
      <c r="Q1176" s="273"/>
      <c r="R1176" s="273"/>
      <c r="S1176" s="273"/>
      <c r="T1176" s="273"/>
      <c r="U1176" s="273"/>
      <c r="V1176" s="273"/>
      <c r="W1176" s="273"/>
      <c r="X1176" s="273"/>
      <c r="Y1176" s="273"/>
      <c r="Z1176" s="136"/>
      <c r="AA1176" s="136"/>
    </row>
    <row r="1177" spans="1:27" ht="15">
      <c r="A1177" s="21"/>
      <c r="B1177" s="237" t="s">
        <v>101</v>
      </c>
      <c r="C1177" s="882">
        <v>0</v>
      </c>
      <c r="D1177" s="8"/>
      <c r="E1177" s="663"/>
      <c r="F1177" s="664"/>
      <c r="G1177" s="664"/>
      <c r="H1177" s="664"/>
      <c r="I1177" s="29"/>
      <c r="J1177" s="273"/>
      <c r="K1177" s="273"/>
      <c r="L1177" s="273"/>
      <c r="M1177" s="406"/>
      <c r="N1177" s="96"/>
      <c r="O1177" s="96"/>
      <c r="P1177" s="273"/>
      <c r="Q1177" s="273"/>
      <c r="R1177" s="273"/>
      <c r="S1177" s="273"/>
      <c r="T1177" s="273"/>
      <c r="U1177" s="273"/>
      <c r="V1177" s="273"/>
      <c r="W1177" s="273"/>
      <c r="X1177" s="273"/>
      <c r="Y1177" s="273"/>
      <c r="Z1177" s="136"/>
      <c r="AA1177" s="136"/>
    </row>
    <row r="1178" spans="1:25" ht="15">
      <c r="A1178" s="21"/>
      <c r="B1178" s="421" t="s">
        <v>193</v>
      </c>
      <c r="C1178" s="882">
        <f>CEILING(85*$Z$1,0.1)</f>
        <v>106.30000000000001</v>
      </c>
      <c r="D1178" s="8"/>
      <c r="E1178" s="663"/>
      <c r="F1178" s="664"/>
      <c r="G1178" s="664"/>
      <c r="H1178" s="664"/>
      <c r="I1178" s="29"/>
      <c r="J1178" s="273"/>
      <c r="K1178" s="273"/>
      <c r="L1178" s="273"/>
      <c r="M1178" s="407"/>
      <c r="N1178" s="96"/>
      <c r="O1178" s="96"/>
      <c r="P1178" s="273"/>
      <c r="Q1178" s="273"/>
      <c r="R1178" s="273"/>
      <c r="S1178" s="273"/>
      <c r="T1178" s="273"/>
      <c r="U1178" s="273"/>
      <c r="V1178" s="273"/>
      <c r="W1178" s="273"/>
      <c r="X1178" s="273"/>
      <c r="Y1178" s="273"/>
    </row>
    <row r="1179" spans="1:25" ht="15">
      <c r="A1179" s="21"/>
      <c r="B1179" s="421" t="s">
        <v>194</v>
      </c>
      <c r="C1179" s="882">
        <f>CEILING((C1178+60*$Z$1),0.1)</f>
        <v>181.3</v>
      </c>
      <c r="D1179" s="8"/>
      <c r="E1179" s="663"/>
      <c r="F1179" s="664"/>
      <c r="G1179" s="664"/>
      <c r="H1179" s="664"/>
      <c r="I1179" s="29"/>
      <c r="J1179" s="273"/>
      <c r="K1179" s="273"/>
      <c r="L1179" s="273"/>
      <c r="M1179" s="407"/>
      <c r="N1179" s="96"/>
      <c r="O1179" s="96"/>
      <c r="P1179" s="1097"/>
      <c r="Q1179" s="1097"/>
      <c r="R1179" s="513"/>
      <c r="S1179" s="513"/>
      <c r="T1179" s="273"/>
      <c r="U1179" s="273"/>
      <c r="V1179" s="273"/>
      <c r="W1179" s="273"/>
      <c r="X1179" s="273"/>
      <c r="Y1179" s="273"/>
    </row>
    <row r="1180" spans="1:25" ht="15">
      <c r="A1180" s="21"/>
      <c r="B1180" s="292" t="s">
        <v>330</v>
      </c>
      <c r="C1180" s="882">
        <f>CEILING(95*$Z$1,0.1)</f>
        <v>118.80000000000001</v>
      </c>
      <c r="D1180" s="8"/>
      <c r="E1180" s="663"/>
      <c r="F1180" s="664"/>
      <c r="G1180" s="664"/>
      <c r="H1180" s="664"/>
      <c r="I1180" s="29"/>
      <c r="J1180" s="273"/>
      <c r="K1180" s="273"/>
      <c r="L1180" s="273"/>
      <c r="M1180" s="407"/>
      <c r="N1180" s="96"/>
      <c r="O1180" s="96"/>
      <c r="P1180" s="514"/>
      <c r="Q1180" s="514"/>
      <c r="R1180" s="514"/>
      <c r="S1180" s="514"/>
      <c r="T1180" s="273"/>
      <c r="U1180" s="273"/>
      <c r="V1180" s="273"/>
      <c r="W1180" s="273"/>
      <c r="X1180" s="273"/>
      <c r="Y1180" s="273"/>
    </row>
    <row r="1181" spans="1:15" ht="15" customHeight="1">
      <c r="A1181" s="21"/>
      <c r="B1181" s="292" t="s">
        <v>324</v>
      </c>
      <c r="C1181" s="882">
        <f>CEILING((C1180+60*$Z$1),0.1)</f>
        <v>193.8</v>
      </c>
      <c r="D1181" s="8"/>
      <c r="E1181" s="663"/>
      <c r="F1181" s="664"/>
      <c r="G1181" s="664"/>
      <c r="H1181" s="664"/>
      <c r="I1181" s="29"/>
      <c r="J1181" s="273"/>
      <c r="K1181" s="273"/>
      <c r="L1181" s="273"/>
      <c r="M1181" s="273"/>
      <c r="N1181" s="273"/>
      <c r="O1181" s="273"/>
    </row>
    <row r="1182" spans="1:15" ht="15">
      <c r="A1182" s="21"/>
      <c r="B1182" s="164" t="s">
        <v>329</v>
      </c>
      <c r="C1182" s="882">
        <f>CEILING(105*$Z$1,0.1)</f>
        <v>131.3</v>
      </c>
      <c r="D1182" s="76"/>
      <c r="E1182" s="663"/>
      <c r="F1182" s="664"/>
      <c r="G1182" s="664"/>
      <c r="H1182" s="664"/>
      <c r="I1182" s="29"/>
      <c r="J1182" s="273"/>
      <c r="K1182" s="273"/>
      <c r="L1182" s="273"/>
      <c r="M1182" s="273"/>
      <c r="N1182" s="273"/>
      <c r="O1182" s="273"/>
    </row>
    <row r="1183" spans="1:15" ht="15" customHeight="1" thickBot="1">
      <c r="A1183" s="378" t="s">
        <v>466</v>
      </c>
      <c r="B1183" s="165" t="s">
        <v>325</v>
      </c>
      <c r="C1183" s="745">
        <f>CEILING((C1182+70*$Z$1),0.1)</f>
        <v>218.8</v>
      </c>
      <c r="D1183" s="77"/>
      <c r="E1183" s="663"/>
      <c r="F1183" s="664"/>
      <c r="G1183" s="664"/>
      <c r="H1183" s="664"/>
      <c r="I1183" s="29"/>
      <c r="J1183" s="273"/>
      <c r="K1183" s="273"/>
      <c r="L1183" s="273"/>
      <c r="M1183" s="273"/>
      <c r="N1183" s="273"/>
      <c r="O1183" s="273"/>
    </row>
    <row r="1184" spans="1:15" ht="15" customHeight="1" thickTop="1">
      <c r="A1184" s="544" t="s">
        <v>884</v>
      </c>
      <c r="B1184" s="403"/>
      <c r="C1184" s="891"/>
      <c r="D1184" s="45"/>
      <c r="E1184" s="895"/>
      <c r="F1184" s="895"/>
      <c r="G1184" s="895"/>
      <c r="H1184" s="895"/>
      <c r="I1184" s="29"/>
      <c r="J1184" s="273"/>
      <c r="K1184" s="273"/>
      <c r="L1184" s="273"/>
      <c r="M1184" s="273"/>
      <c r="N1184" s="273"/>
      <c r="O1184" s="273"/>
    </row>
    <row r="1185" spans="1:15" ht="18.75" customHeight="1" thickBot="1">
      <c r="A1185" s="104"/>
      <c r="B1185" s="158"/>
      <c r="C1185" s="68"/>
      <c r="D1185" s="68"/>
      <c r="E1185" s="68"/>
      <c r="F1185" s="68"/>
      <c r="G1185" s="68"/>
      <c r="H1185" s="68"/>
      <c r="I1185" s="29"/>
      <c r="J1185" s="273"/>
      <c r="K1185" s="273"/>
      <c r="L1185" s="273"/>
      <c r="M1185" s="273"/>
      <c r="N1185" s="273"/>
      <c r="O1185" s="273"/>
    </row>
    <row r="1186" spans="1:15" ht="24.75" customHeight="1" thickTop="1">
      <c r="A1186" s="697" t="s">
        <v>4</v>
      </c>
      <c r="B1186" s="296" t="s">
        <v>316</v>
      </c>
      <c r="C1186" s="945" t="s">
        <v>451</v>
      </c>
      <c r="D1186" s="946"/>
      <c r="E1186" s="945" t="s">
        <v>452</v>
      </c>
      <c r="F1186" s="946"/>
      <c r="G1186" s="945" t="s">
        <v>453</v>
      </c>
      <c r="H1186" s="946"/>
      <c r="I1186" s="7"/>
      <c r="J1186" s="286"/>
      <c r="K1186" s="286"/>
      <c r="L1186" s="286"/>
      <c r="M1186" s="273"/>
      <c r="N1186" s="273"/>
      <c r="O1186" s="273"/>
    </row>
    <row r="1187" spans="1:15" ht="15">
      <c r="A1187" s="167" t="s">
        <v>380</v>
      </c>
      <c r="B1187" s="231" t="s">
        <v>11</v>
      </c>
      <c r="C1187" s="990">
        <f>CEILING(48*$Z$1,0.1)</f>
        <v>60</v>
      </c>
      <c r="D1187" s="997"/>
      <c r="E1187" s="990">
        <f>CEILING(52.5*$Z$1,0.1)</f>
        <v>65.7</v>
      </c>
      <c r="F1187" s="997"/>
      <c r="G1187" s="990">
        <f>CEILING(48*$Z$1,0.1)</f>
        <v>60</v>
      </c>
      <c r="H1187" s="997"/>
      <c r="I1187" s="6"/>
      <c r="J1187" s="286"/>
      <c r="K1187" s="286"/>
      <c r="L1187" s="286"/>
      <c r="M1187" s="273"/>
      <c r="N1187" s="273"/>
      <c r="O1187" s="273"/>
    </row>
    <row r="1188" spans="1:15" ht="15">
      <c r="A1188" s="162" t="s">
        <v>18</v>
      </c>
      <c r="B1188" s="231" t="s">
        <v>7</v>
      </c>
      <c r="C1188" s="947">
        <f>CEILING(63*$Z$1,0.1)</f>
        <v>78.80000000000001</v>
      </c>
      <c r="D1188" s="948"/>
      <c r="E1188" s="947">
        <f>CEILING(68*$Z$1,0.1)</f>
        <v>85</v>
      </c>
      <c r="F1188" s="948"/>
      <c r="G1188" s="947">
        <f>CEILING(63*$Z$1,0.1)</f>
        <v>78.80000000000001</v>
      </c>
      <c r="H1188" s="948"/>
      <c r="I1188" s="6"/>
      <c r="J1188" s="286"/>
      <c r="K1188" s="286"/>
      <c r="L1188" s="286"/>
      <c r="M1188" s="273"/>
      <c r="N1188" s="273"/>
      <c r="O1188" s="273"/>
    </row>
    <row r="1189" spans="1:15" ht="15">
      <c r="A1189" s="162"/>
      <c r="B1189" s="416" t="s">
        <v>69</v>
      </c>
      <c r="C1189" s="947">
        <f>CEILING(38*$Z$1,0.1)</f>
        <v>47.5</v>
      </c>
      <c r="D1189" s="948"/>
      <c r="E1189" s="947">
        <f>CEILING(42*$Z$1,0.1)</f>
        <v>52.5</v>
      </c>
      <c r="F1189" s="948"/>
      <c r="G1189" s="947">
        <f>CEILING(38*$Z$1,0.1)</f>
        <v>47.5</v>
      </c>
      <c r="H1189" s="948"/>
      <c r="I1189" s="6"/>
      <c r="J1189" s="286"/>
      <c r="K1189" s="286"/>
      <c r="L1189" s="286"/>
      <c r="M1189" s="273"/>
      <c r="N1189" s="273"/>
      <c r="O1189" s="273"/>
    </row>
    <row r="1190" spans="1:15" ht="15">
      <c r="A1190" s="162"/>
      <c r="B1190" s="232" t="s">
        <v>166</v>
      </c>
      <c r="C1190" s="949">
        <v>0</v>
      </c>
      <c r="D1190" s="950"/>
      <c r="E1190" s="949">
        <v>0</v>
      </c>
      <c r="F1190" s="950"/>
      <c r="G1190" s="949">
        <v>0</v>
      </c>
      <c r="H1190" s="950"/>
      <c r="I1190" s="6"/>
      <c r="J1190" s="286"/>
      <c r="K1190" s="286"/>
      <c r="L1190" s="286"/>
      <c r="M1190" s="273"/>
      <c r="N1190" s="273"/>
      <c r="O1190" s="273"/>
    </row>
    <row r="1191" spans="1:15" ht="15" thickBot="1">
      <c r="A1191" s="157" t="s">
        <v>831</v>
      </c>
      <c r="B1191" s="880" t="s">
        <v>167</v>
      </c>
      <c r="C1191" s="958">
        <f>CEILING((C1187*0.5),0.1)</f>
        <v>30</v>
      </c>
      <c r="D1191" s="1040"/>
      <c r="E1191" s="958">
        <f>CEILING((E1187*0.5),0.1)</f>
        <v>32.9</v>
      </c>
      <c r="F1191" s="1040"/>
      <c r="G1191" s="958">
        <f>CEILING((G1187*0.5),0.1)</f>
        <v>30</v>
      </c>
      <c r="H1191" s="1040"/>
      <c r="I1191" s="6"/>
      <c r="J1191" s="286"/>
      <c r="K1191" s="286"/>
      <c r="L1191" s="286"/>
      <c r="M1191" s="273"/>
      <c r="N1191" s="273"/>
      <c r="O1191" s="273"/>
    </row>
    <row r="1192" spans="1:15" ht="27" customHeight="1" thickBot="1" thickTop="1">
      <c r="A1192" s="166"/>
      <c r="B1192" s="166"/>
      <c r="C1192" s="131"/>
      <c r="D1192" s="131"/>
      <c r="E1192" s="131"/>
      <c r="F1192" s="131"/>
      <c r="G1192" s="131"/>
      <c r="H1192" s="131"/>
      <c r="I1192" s="7"/>
      <c r="J1192" s="273"/>
      <c r="K1192" s="273"/>
      <c r="L1192" s="273"/>
      <c r="M1192" s="273"/>
      <c r="N1192" s="273"/>
      <c r="O1192" s="273"/>
    </row>
    <row r="1193" spans="1:15" ht="24.75" customHeight="1" thickTop="1">
      <c r="A1193" s="697" t="s">
        <v>4</v>
      </c>
      <c r="B1193" s="296" t="s">
        <v>195</v>
      </c>
      <c r="C1193" s="945" t="s">
        <v>592</v>
      </c>
      <c r="D1193" s="946"/>
      <c r="E1193" s="945" t="s">
        <v>707</v>
      </c>
      <c r="F1193" s="946"/>
      <c r="G1193" s="945" t="s">
        <v>708</v>
      </c>
      <c r="H1193" s="946"/>
      <c r="I1193" s="6"/>
      <c r="J1193" s="273"/>
      <c r="K1193" s="273"/>
      <c r="L1193" s="273"/>
      <c r="M1193" s="273"/>
      <c r="N1193" s="273"/>
      <c r="O1193" s="273"/>
    </row>
    <row r="1194" spans="1:15" ht="15">
      <c r="A1194" s="159" t="s">
        <v>196</v>
      </c>
      <c r="B1194" s="297" t="s">
        <v>11</v>
      </c>
      <c r="C1194" s="990">
        <f>CEILING(38.5*$Z$1,0.1)</f>
        <v>48.2</v>
      </c>
      <c r="D1194" s="997"/>
      <c r="E1194" s="990">
        <f>CEILING(42*$Z$1,0.1)</f>
        <v>52.5</v>
      </c>
      <c r="F1194" s="997"/>
      <c r="G1194" s="990">
        <f>CEILING(38.5*$Z$1,0.1)</f>
        <v>48.2</v>
      </c>
      <c r="H1194" s="997"/>
      <c r="I1194" s="6"/>
      <c r="J1194" s="273"/>
      <c r="K1194" s="273"/>
      <c r="L1194" s="273"/>
      <c r="M1194" s="273"/>
      <c r="N1194" s="273"/>
      <c r="O1194" s="273"/>
    </row>
    <row r="1195" spans="1:15" ht="14.25">
      <c r="A1195" s="160"/>
      <c r="B1195" s="231" t="s">
        <v>7</v>
      </c>
      <c r="C1195" s="947">
        <f>CEILING(54*$Z$1,0.1)</f>
        <v>67.5</v>
      </c>
      <c r="D1195" s="948"/>
      <c r="E1195" s="947">
        <f>CEILING(57*$Z$1,0.1)</f>
        <v>71.3</v>
      </c>
      <c r="F1195" s="948"/>
      <c r="G1195" s="947">
        <f>CEILING(54*$Z$1,0.1)</f>
        <v>67.5</v>
      </c>
      <c r="H1195" s="948"/>
      <c r="I1195" s="6"/>
      <c r="J1195" s="273"/>
      <c r="K1195" s="273"/>
      <c r="L1195" s="273"/>
      <c r="M1195" s="273"/>
      <c r="N1195" s="273"/>
      <c r="O1195" s="273"/>
    </row>
    <row r="1196" spans="1:15" ht="15">
      <c r="A1196" s="162" t="s">
        <v>18</v>
      </c>
      <c r="B1196" s="236" t="s">
        <v>9</v>
      </c>
      <c r="C1196" s="947">
        <f>CEILING(31*$Z$1,0.1)</f>
        <v>38.800000000000004</v>
      </c>
      <c r="D1196" s="948"/>
      <c r="E1196" s="947">
        <f>CEILING(31*$Z$1,0.1)</f>
        <v>38.800000000000004</v>
      </c>
      <c r="F1196" s="948"/>
      <c r="G1196" s="947">
        <f>CEILING(31*$Z$1,0.1)</f>
        <v>38.800000000000004</v>
      </c>
      <c r="H1196" s="948"/>
      <c r="I1196" s="6"/>
      <c r="J1196" s="273"/>
      <c r="K1196" s="273"/>
      <c r="L1196" s="273"/>
      <c r="M1196" s="273"/>
      <c r="N1196" s="273"/>
      <c r="O1196" s="273"/>
    </row>
    <row r="1197" spans="1:15" ht="15">
      <c r="A1197" s="163"/>
      <c r="B1197" s="232" t="s">
        <v>2</v>
      </c>
      <c r="C1197" s="949">
        <v>0</v>
      </c>
      <c r="D1197" s="950"/>
      <c r="E1197" s="949">
        <v>0</v>
      </c>
      <c r="F1197" s="950"/>
      <c r="G1197" s="949">
        <v>0</v>
      </c>
      <c r="H1197" s="950"/>
      <c r="I1197" s="6"/>
      <c r="J1197" s="273"/>
      <c r="K1197" s="273"/>
      <c r="L1197" s="273"/>
      <c r="M1197" s="273"/>
      <c r="N1197" s="273"/>
      <c r="O1197" s="273"/>
    </row>
    <row r="1198" spans="1:15" ht="15">
      <c r="A1198" s="163"/>
      <c r="B1198" s="164" t="s">
        <v>197</v>
      </c>
      <c r="C1198" s="947">
        <f>CEILING(40.5*$Z$1,0.1)</f>
        <v>50.7</v>
      </c>
      <c r="D1198" s="948"/>
      <c r="E1198" s="947">
        <f>CEILING(44*$Z$1,0.1)</f>
        <v>55</v>
      </c>
      <c r="F1198" s="948"/>
      <c r="G1198" s="947">
        <f>CEILING(40.5*$Z$1,0.1)</f>
        <v>50.7</v>
      </c>
      <c r="H1198" s="948"/>
      <c r="I1198" s="6"/>
      <c r="J1198" s="273"/>
      <c r="K1198" s="273"/>
      <c r="L1198" s="273"/>
      <c r="M1198" s="273"/>
      <c r="N1198" s="273"/>
      <c r="O1198" s="273"/>
    </row>
    <row r="1199" spans="1:15" ht="15" thickBot="1">
      <c r="A1199" s="157" t="s">
        <v>382</v>
      </c>
      <c r="B1199" s="165" t="s">
        <v>198</v>
      </c>
      <c r="C1199" s="958">
        <f>CEILING(56*$Z$1,0.1)</f>
        <v>70</v>
      </c>
      <c r="D1199" s="1040"/>
      <c r="E1199" s="958">
        <f>CEILING(59*$Z$1,0.1)</f>
        <v>73.8</v>
      </c>
      <c r="F1199" s="1040"/>
      <c r="G1199" s="958">
        <f>CEILING(56*$Z$1,0.1)</f>
        <v>70</v>
      </c>
      <c r="H1199" s="1040"/>
      <c r="I1199" s="6"/>
      <c r="J1199" s="273"/>
      <c r="K1199" s="273"/>
      <c r="L1199" s="273"/>
      <c r="M1199" s="273"/>
      <c r="N1199" s="273"/>
      <c r="O1199" s="273"/>
    </row>
    <row r="1200" spans="1:15" ht="17.25" customHeight="1" thickBot="1" thickTop="1">
      <c r="A1200" s="412"/>
      <c r="B1200" s="413"/>
      <c r="C1200" s="393"/>
      <c r="D1200" s="393"/>
      <c r="E1200" s="393"/>
      <c r="F1200" s="393"/>
      <c r="G1200" s="393"/>
      <c r="H1200" s="393"/>
      <c r="I1200" s="7"/>
      <c r="J1200" s="273"/>
      <c r="K1200" s="273"/>
      <c r="L1200" s="273"/>
      <c r="M1200" s="273"/>
      <c r="N1200" s="273"/>
      <c r="O1200" s="273"/>
    </row>
    <row r="1201" spans="1:15" ht="22.5" customHeight="1" thickTop="1">
      <c r="A1201" s="697" t="s">
        <v>4</v>
      </c>
      <c r="B1201" s="296" t="s">
        <v>316</v>
      </c>
      <c r="C1201" s="945" t="s">
        <v>592</v>
      </c>
      <c r="D1201" s="946"/>
      <c r="E1201" s="945" t="s">
        <v>707</v>
      </c>
      <c r="F1201" s="946"/>
      <c r="G1201" s="945" t="s">
        <v>708</v>
      </c>
      <c r="H1201" s="946"/>
      <c r="I1201" s="404"/>
      <c r="J1201" s="149"/>
      <c r="K1201" s="405"/>
      <c r="L1201" s="405"/>
      <c r="M1201" s="273"/>
      <c r="N1201" s="273"/>
      <c r="O1201" s="273"/>
    </row>
    <row r="1202" spans="1:15" ht="15">
      <c r="A1202" s="167" t="s">
        <v>315</v>
      </c>
      <c r="B1202" s="231" t="s">
        <v>11</v>
      </c>
      <c r="C1202" s="990">
        <f>CEILING(28*$Z$1,0.1)</f>
        <v>35</v>
      </c>
      <c r="D1202" s="997"/>
      <c r="E1202" s="990">
        <f>CEILING(35*$Z$1,0.1)</f>
        <v>43.800000000000004</v>
      </c>
      <c r="F1202" s="997"/>
      <c r="G1202" s="990">
        <f>CEILING(28*$Z$1,0.1)</f>
        <v>35</v>
      </c>
      <c r="H1202" s="997"/>
      <c r="I1202" s="401"/>
      <c r="J1202" s="149"/>
      <c r="K1202" s="405"/>
      <c r="L1202" s="405"/>
      <c r="M1202" s="273"/>
      <c r="N1202" s="273"/>
      <c r="O1202" s="273"/>
    </row>
    <row r="1203" spans="1:15" ht="15">
      <c r="A1203" s="162" t="s">
        <v>24</v>
      </c>
      <c r="B1203" s="231" t="s">
        <v>7</v>
      </c>
      <c r="C1203" s="947">
        <f>CEILING(34*$Z$1,0.1)</f>
        <v>42.5</v>
      </c>
      <c r="D1203" s="948"/>
      <c r="E1203" s="947">
        <f>CEILING(42*$Z$1,0.1)</f>
        <v>52.5</v>
      </c>
      <c r="F1203" s="948"/>
      <c r="G1203" s="947">
        <f>CEILING(34*$Z$1,0.1)</f>
        <v>42.5</v>
      </c>
      <c r="H1203" s="948"/>
      <c r="I1203" s="401"/>
      <c r="J1203" s="149"/>
      <c r="K1203" s="376"/>
      <c r="L1203" s="405"/>
      <c r="M1203" s="273"/>
      <c r="N1203" s="273"/>
      <c r="O1203" s="273"/>
    </row>
    <row r="1204" spans="1:15" ht="14.25" customHeight="1">
      <c r="A1204" s="162"/>
      <c r="B1204" s="231" t="s">
        <v>312</v>
      </c>
      <c r="C1204" s="949">
        <v>0</v>
      </c>
      <c r="D1204" s="950"/>
      <c r="E1204" s="949">
        <v>0</v>
      </c>
      <c r="F1204" s="950"/>
      <c r="G1204" s="949">
        <v>0</v>
      </c>
      <c r="H1204" s="950"/>
      <c r="I1204" s="401"/>
      <c r="J1204" s="149"/>
      <c r="K1204" s="408"/>
      <c r="L1204" s="376"/>
      <c r="M1204" s="273"/>
      <c r="N1204" s="273"/>
      <c r="O1204" s="273"/>
    </row>
    <row r="1205" spans="1:15" ht="14.25" customHeight="1" thickBot="1">
      <c r="A1205" s="410" t="s">
        <v>317</v>
      </c>
      <c r="B1205" s="400" t="s">
        <v>313</v>
      </c>
      <c r="C1205" s="967">
        <f>CEILING((C1203*0.7),0.1)</f>
        <v>29.8</v>
      </c>
      <c r="D1205" s="973"/>
      <c r="E1205" s="967">
        <f>CEILING((E1203*0.7),0.1)</f>
        <v>36.800000000000004</v>
      </c>
      <c r="F1205" s="973"/>
      <c r="G1205" s="967">
        <f>CEILING((G1203*0.7),0.1)</f>
        <v>29.8</v>
      </c>
      <c r="H1205" s="973"/>
      <c r="I1205" s="401"/>
      <c r="J1205" s="411"/>
      <c r="K1205" s="408"/>
      <c r="L1205" s="408"/>
      <c r="M1205" s="273"/>
      <c r="N1205" s="273"/>
      <c r="O1205" s="273"/>
    </row>
    <row r="1206" spans="1:15" ht="16.5" customHeight="1" thickTop="1">
      <c r="A1206" s="80"/>
      <c r="B1206" s="80"/>
      <c r="C1206" s="17"/>
      <c r="D1206" s="17"/>
      <c r="E1206" s="17"/>
      <c r="F1206" s="17"/>
      <c r="G1206" s="17"/>
      <c r="H1206" s="17"/>
      <c r="I1206" s="7"/>
      <c r="J1206" s="273"/>
      <c r="K1206" s="273"/>
      <c r="L1206" s="273"/>
      <c r="M1206" s="273"/>
      <c r="N1206" s="273"/>
      <c r="O1206" s="273"/>
    </row>
    <row r="1207" spans="1:15" ht="17.25" customHeight="1">
      <c r="A1207" s="1010" t="s">
        <v>318</v>
      </c>
      <c r="B1207" s="1010"/>
      <c r="C1207" s="1010"/>
      <c r="D1207" s="1010"/>
      <c r="E1207" s="1010"/>
      <c r="F1207" s="1010"/>
      <c r="G1207" s="1010"/>
      <c r="H1207" s="1010"/>
      <c r="I1207" s="1"/>
      <c r="J1207" s="273"/>
      <c r="K1207" s="273"/>
      <c r="L1207" s="273"/>
      <c r="M1207" s="273"/>
      <c r="N1207" s="273"/>
      <c r="O1207" s="273"/>
    </row>
    <row r="1208" spans="1:15" ht="18.75" customHeight="1">
      <c r="A1208" s="1010" t="s">
        <v>763</v>
      </c>
      <c r="B1208" s="1010"/>
      <c r="C1208" s="1010"/>
      <c r="D1208" s="1010"/>
      <c r="E1208" s="1010"/>
      <c r="F1208" s="1010"/>
      <c r="G1208" s="1010"/>
      <c r="H1208" s="1010"/>
      <c r="I1208" s="1"/>
      <c r="J1208" s="273"/>
      <c r="K1208" s="273"/>
      <c r="L1208" s="273"/>
      <c r="M1208" s="273"/>
      <c r="N1208" s="273"/>
      <c r="O1208" s="273"/>
    </row>
    <row r="1209" spans="1:15" ht="14.25">
      <c r="A1209" s="3"/>
      <c r="B1209" s="3"/>
      <c r="C1209" s="3"/>
      <c r="D1209" s="3"/>
      <c r="E1209" s="3"/>
      <c r="F1209" s="3"/>
      <c r="G1209" s="3"/>
      <c r="H1209" s="3"/>
      <c r="I1209" s="1"/>
      <c r="J1209" s="273"/>
      <c r="K1209" s="273"/>
      <c r="L1209" s="273"/>
      <c r="M1209" s="273"/>
      <c r="N1209" s="273"/>
      <c r="O1209" s="273"/>
    </row>
    <row r="1210" spans="1:15" ht="14.25">
      <c r="A1210" s="7"/>
      <c r="B1210" s="7"/>
      <c r="C1210" s="7"/>
      <c r="D1210" s="7"/>
      <c r="E1210" s="7"/>
      <c r="F1210" s="7"/>
      <c r="G1210" s="7"/>
      <c r="H1210" s="7"/>
      <c r="I1210" s="1"/>
      <c r="J1210" s="273"/>
      <c r="K1210" s="273"/>
      <c r="L1210" s="273"/>
      <c r="M1210" s="273"/>
      <c r="N1210" s="273"/>
      <c r="O1210" s="273"/>
    </row>
    <row r="1211" spans="1:15" ht="15">
      <c r="A1211" s="1039" t="s">
        <v>35</v>
      </c>
      <c r="B1211" s="1039"/>
      <c r="C1211" s="1039"/>
      <c r="D1211" s="1039"/>
      <c r="E1211" s="1039"/>
      <c r="F1211" s="1039"/>
      <c r="G1211" s="1039"/>
      <c r="H1211" s="1039"/>
      <c r="I1211" s="1"/>
      <c r="J1211" s="273"/>
      <c r="K1211" s="273"/>
      <c r="L1211" s="273"/>
      <c r="M1211" s="273"/>
      <c r="N1211" s="273"/>
      <c r="O1211" s="273"/>
    </row>
    <row r="1212" spans="1:15" ht="15" thickBot="1">
      <c r="A1212" s="10"/>
      <c r="B1212" s="10"/>
      <c r="C1212" s="10"/>
      <c r="D1212" s="10"/>
      <c r="E1212" s="10"/>
      <c r="F1212" s="10"/>
      <c r="G1212" s="7"/>
      <c r="H1212" s="7"/>
      <c r="I1212" s="1"/>
      <c r="J1212" s="273"/>
      <c r="K1212" s="273"/>
      <c r="L1212" s="273"/>
      <c r="M1212" s="273"/>
      <c r="N1212" s="273"/>
      <c r="O1212" s="273"/>
    </row>
    <row r="1213" spans="1:15" ht="15.75" thickTop="1">
      <c r="A1213" s="1000" t="s">
        <v>4</v>
      </c>
      <c r="B1213" s="75"/>
      <c r="C1213" s="1002" t="s">
        <v>592</v>
      </c>
      <c r="D1213" s="1096"/>
      <c r="E1213" s="1002" t="s">
        <v>885</v>
      </c>
      <c r="F1213" s="1003"/>
      <c r="G1213" s="1041"/>
      <c r="H1213" s="1042"/>
      <c r="I1213" s="1"/>
      <c r="J1213" s="273"/>
      <c r="K1213" s="273"/>
      <c r="L1213" s="273"/>
      <c r="M1213" s="273"/>
      <c r="N1213" s="273"/>
      <c r="O1213" s="273"/>
    </row>
    <row r="1214" spans="1:15" ht="15">
      <c r="A1214" s="1001"/>
      <c r="B1214" s="113"/>
      <c r="C1214" s="305" t="s">
        <v>70</v>
      </c>
      <c r="D1214" s="305"/>
      <c r="E1214" s="305" t="s">
        <v>70</v>
      </c>
      <c r="F1214" s="306"/>
      <c r="G1214" s="487"/>
      <c r="H1214" s="486"/>
      <c r="I1214" s="7"/>
      <c r="J1214" s="273"/>
      <c r="K1214" s="273"/>
      <c r="L1214" s="273"/>
      <c r="M1214" s="273"/>
      <c r="N1214" s="273"/>
      <c r="O1214" s="273"/>
    </row>
    <row r="1215" spans="1:15" ht="15">
      <c r="A1215" s="171" t="s">
        <v>36</v>
      </c>
      <c r="B1215" s="325" t="s">
        <v>285</v>
      </c>
      <c r="C1215" s="881">
        <f>CEILING(125*$Z$2,0.1)</f>
        <v>156.3</v>
      </c>
      <c r="D1215" s="247"/>
      <c r="E1215" s="881">
        <f>CEILING(115*$Z$2,0.1)</f>
        <v>143.8</v>
      </c>
      <c r="F1215" s="485"/>
      <c r="G1215" s="894"/>
      <c r="H1215" s="895"/>
      <c r="I1215" s="31"/>
      <c r="J1215" s="273"/>
      <c r="K1215" s="273"/>
      <c r="L1215" s="273"/>
      <c r="M1215" s="273"/>
      <c r="N1215" s="273"/>
      <c r="O1215" s="273"/>
    </row>
    <row r="1216" spans="1:15" ht="15">
      <c r="A1216" s="172" t="s">
        <v>6</v>
      </c>
      <c r="B1216" s="164" t="s">
        <v>286</v>
      </c>
      <c r="C1216" s="882">
        <f>CEILING((C1215+100*$Z$2),0.1)</f>
        <v>281.3</v>
      </c>
      <c r="D1216" s="76"/>
      <c r="E1216" s="882">
        <f>CEILING((E1215+100*$Z$2),0.1)</f>
        <v>268.8</v>
      </c>
      <c r="F1216" s="8"/>
      <c r="G1216" s="894"/>
      <c r="H1216" s="895"/>
      <c r="I1216" s="7"/>
      <c r="J1216" s="273"/>
      <c r="K1216" s="273"/>
      <c r="L1216" s="273"/>
      <c r="M1216" s="273"/>
      <c r="N1216" s="273"/>
      <c r="O1216" s="273"/>
    </row>
    <row r="1217" spans="1:15" ht="15">
      <c r="A1217" s="172"/>
      <c r="B1217" s="416" t="s">
        <v>69</v>
      </c>
      <c r="C1217" s="882">
        <f>CEILING((C1215*0.85),0.1)</f>
        <v>132.9</v>
      </c>
      <c r="D1217" s="76"/>
      <c r="E1217" s="882">
        <f>CEILING((E1215*0.85),0.1)</f>
        <v>122.30000000000001</v>
      </c>
      <c r="F1217" s="8"/>
      <c r="G1217" s="894"/>
      <c r="H1217" s="895"/>
      <c r="I1217" s="7"/>
      <c r="J1217" s="273"/>
      <c r="K1217" s="273"/>
      <c r="L1217" s="273"/>
      <c r="M1217" s="273"/>
      <c r="N1217" s="273"/>
      <c r="O1217" s="273"/>
    </row>
    <row r="1218" spans="1:15" ht="15">
      <c r="A1218" s="172"/>
      <c r="B1218" s="237" t="s">
        <v>101</v>
      </c>
      <c r="C1218" s="882">
        <v>0</v>
      </c>
      <c r="D1218" s="76"/>
      <c r="E1218" s="882">
        <v>0</v>
      </c>
      <c r="F1218" s="8"/>
      <c r="G1218" s="894"/>
      <c r="H1218" s="895"/>
      <c r="I1218" s="7"/>
      <c r="J1218" s="273"/>
      <c r="K1218" s="273"/>
      <c r="L1218" s="273"/>
      <c r="M1218" s="273"/>
      <c r="N1218" s="273"/>
      <c r="O1218" s="273"/>
    </row>
    <row r="1219" spans="1:15" ht="15">
      <c r="A1219" s="172"/>
      <c r="B1219" s="164" t="s">
        <v>193</v>
      </c>
      <c r="C1219" s="882">
        <f>CEILING(138*$Z$2,0.1)</f>
        <v>172.5</v>
      </c>
      <c r="D1219" s="76"/>
      <c r="E1219" s="882">
        <f>CEILING(128*$Z$2,0.1)</f>
        <v>160</v>
      </c>
      <c r="F1219" s="8"/>
      <c r="G1219" s="894"/>
      <c r="H1219" s="895"/>
      <c r="I1219" s="31"/>
      <c r="J1219" s="273"/>
      <c r="K1219" s="273"/>
      <c r="L1219" s="273"/>
      <c r="M1219" s="273"/>
      <c r="N1219" s="273"/>
      <c r="O1219" s="273"/>
    </row>
    <row r="1220" spans="1:15" ht="15">
      <c r="A1220" s="172"/>
      <c r="B1220" s="164" t="s">
        <v>194</v>
      </c>
      <c r="C1220" s="882">
        <f>CEILING((C1219+110*$Z$2),0.1)</f>
        <v>310</v>
      </c>
      <c r="D1220" s="76"/>
      <c r="E1220" s="882">
        <f>CEILING((E1219+110*$Z$2),0.1)</f>
        <v>297.5</v>
      </c>
      <c r="F1220" s="8"/>
      <c r="G1220" s="894"/>
      <c r="H1220" s="895"/>
      <c r="I1220" s="31"/>
      <c r="J1220" s="273"/>
      <c r="K1220" s="273"/>
      <c r="L1220" s="273"/>
      <c r="M1220" s="273"/>
      <c r="N1220" s="273"/>
      <c r="O1220" s="273"/>
    </row>
    <row r="1221" spans="1:15" ht="15">
      <c r="A1221" s="172"/>
      <c r="B1221" s="232" t="s">
        <v>322</v>
      </c>
      <c r="C1221" s="882">
        <f>CEILING(152*$Z$2,0.1)</f>
        <v>190</v>
      </c>
      <c r="D1221" s="76"/>
      <c r="E1221" s="882">
        <f>CEILING(142*$Z$2,0.1)</f>
        <v>177.5</v>
      </c>
      <c r="F1221" s="8"/>
      <c r="G1221" s="894"/>
      <c r="H1221" s="895"/>
      <c r="I1221" s="31"/>
      <c r="J1221" s="273"/>
      <c r="K1221" s="273"/>
      <c r="L1221" s="273"/>
      <c r="M1221" s="273"/>
      <c r="N1221" s="273"/>
      <c r="O1221" s="273"/>
    </row>
    <row r="1222" spans="1:15" ht="16.5" customHeight="1">
      <c r="A1222" s="172"/>
      <c r="B1222" s="232" t="s">
        <v>323</v>
      </c>
      <c r="C1222" s="882">
        <f>CEILING((C1221+120*$Z$2),0.1)</f>
        <v>340</v>
      </c>
      <c r="D1222" s="76"/>
      <c r="E1222" s="882">
        <f>CEILING((E1221+120*$Z$2),0.1)</f>
        <v>327.5</v>
      </c>
      <c r="F1222" s="8"/>
      <c r="G1222" s="894"/>
      <c r="H1222" s="895"/>
      <c r="I1222" s="31"/>
      <c r="J1222" s="273"/>
      <c r="K1222" s="273"/>
      <c r="L1222" s="273"/>
      <c r="M1222" s="273"/>
      <c r="N1222" s="273"/>
      <c r="O1222" s="273"/>
    </row>
    <row r="1223" spans="1:15" ht="15.75" customHeight="1">
      <c r="A1223" s="172"/>
      <c r="B1223" s="292" t="s">
        <v>246</v>
      </c>
      <c r="C1223" s="882">
        <f>CEILING(175*$Z$2,0.1)</f>
        <v>218.8</v>
      </c>
      <c r="D1223" s="76"/>
      <c r="E1223" s="882">
        <f>CEILING(165*$Z$2,0.1)</f>
        <v>206.3</v>
      </c>
      <c r="F1223" s="8"/>
      <c r="G1223" s="894"/>
      <c r="H1223" s="895"/>
      <c r="I1223" s="31"/>
      <c r="J1223" s="273"/>
      <c r="K1223" s="273"/>
      <c r="L1223" s="273"/>
      <c r="M1223" s="273"/>
      <c r="N1223" s="273"/>
      <c r="O1223" s="273"/>
    </row>
    <row r="1224" spans="1:15" ht="15">
      <c r="A1224" s="172"/>
      <c r="B1224" s="292" t="s">
        <v>324</v>
      </c>
      <c r="C1224" s="882">
        <f>CEILING((C1223+115*$Z$2),0.1)</f>
        <v>362.6</v>
      </c>
      <c r="D1224" s="76"/>
      <c r="E1224" s="882">
        <f>CEILING((E1223+115*$Z$2),0.1)</f>
        <v>350.1</v>
      </c>
      <c r="F1224" s="8"/>
      <c r="G1224" s="894"/>
      <c r="H1224" s="895"/>
      <c r="I1224" s="31"/>
      <c r="J1224" s="273"/>
      <c r="K1224" s="273"/>
      <c r="L1224" s="273"/>
      <c r="M1224" s="273"/>
      <c r="N1224" s="273"/>
      <c r="O1224" s="273"/>
    </row>
    <row r="1225" spans="1:15" ht="15">
      <c r="A1225" s="172"/>
      <c r="B1225" s="292" t="s">
        <v>247</v>
      </c>
      <c r="C1225" s="882">
        <f>CEILING(230*$Z$2,0.1)</f>
        <v>287.5</v>
      </c>
      <c r="D1225" s="76"/>
      <c r="E1225" s="882">
        <f>CEILING(220*$Z$2,0.1)</f>
        <v>275</v>
      </c>
      <c r="F1225" s="8"/>
      <c r="G1225" s="894"/>
      <c r="H1225" s="895"/>
      <c r="I1225" s="31"/>
      <c r="J1225" s="407"/>
      <c r="K1225" s="273"/>
      <c r="L1225" s="273"/>
      <c r="M1225" s="273"/>
      <c r="N1225" s="273"/>
      <c r="O1225" s="273"/>
    </row>
    <row r="1226" spans="1:15" ht="14.25" customHeight="1" thickBot="1">
      <c r="A1226" s="378" t="s">
        <v>326</v>
      </c>
      <c r="B1226" s="353" t="s">
        <v>248</v>
      </c>
      <c r="C1226" s="745">
        <f>CEILING((C1225+140*$Z$2),0.1)</f>
        <v>462.5</v>
      </c>
      <c r="D1226" s="77"/>
      <c r="E1226" s="745">
        <f>CEILING((E1225+140*$Z$2),0.1)</f>
        <v>450</v>
      </c>
      <c r="F1226" s="419"/>
      <c r="G1226" s="894"/>
      <c r="H1226" s="895"/>
      <c r="I1226" s="31"/>
      <c r="J1226" s="407"/>
      <c r="K1226" s="273"/>
      <c r="L1226" s="273"/>
      <c r="M1226" s="273"/>
      <c r="N1226" s="273"/>
      <c r="O1226" s="273"/>
    </row>
    <row r="1227" spans="1:15" ht="14.25" customHeight="1" thickTop="1">
      <c r="A1227" s="677" t="s">
        <v>886</v>
      </c>
      <c r="B1227" s="676"/>
      <c r="C1227" s="45"/>
      <c r="D1227" s="45"/>
      <c r="E1227" s="45"/>
      <c r="F1227" s="45"/>
      <c r="G1227" s="45"/>
      <c r="H1227" s="45"/>
      <c r="I1227" s="31"/>
      <c r="J1227" s="407"/>
      <c r="K1227" s="273"/>
      <c r="L1227" s="273"/>
      <c r="M1227" s="273"/>
      <c r="N1227" s="273"/>
      <c r="O1227" s="273"/>
    </row>
    <row r="1228" spans="1:15" ht="14.25" customHeight="1">
      <c r="A1228" s="1083" t="s">
        <v>327</v>
      </c>
      <c r="B1228" s="1083"/>
      <c r="C1228" s="1083"/>
      <c r="D1228" s="1083"/>
      <c r="E1228" s="1083"/>
      <c r="F1228" s="1083"/>
      <c r="G1228" s="1083"/>
      <c r="H1228" s="1083"/>
      <c r="I1228" s="1083"/>
      <c r="J1228" s="1083"/>
      <c r="K1228" s="273"/>
      <c r="L1228" s="273"/>
      <c r="M1228" s="273"/>
      <c r="N1228" s="273"/>
      <c r="O1228" s="273"/>
    </row>
    <row r="1229" spans="1:15" ht="14.25" customHeight="1">
      <c r="A1229" s="544" t="s">
        <v>887</v>
      </c>
      <c r="B1229" s="893"/>
      <c r="C1229" s="893"/>
      <c r="D1229" s="893"/>
      <c r="E1229" s="893"/>
      <c r="F1229" s="893"/>
      <c r="G1229" s="893"/>
      <c r="H1229" s="893"/>
      <c r="I1229" s="893"/>
      <c r="J1229" s="893"/>
      <c r="K1229" s="273"/>
      <c r="L1229" s="273"/>
      <c r="M1229" s="273"/>
      <c r="N1229" s="273"/>
      <c r="O1229" s="273"/>
    </row>
    <row r="1230" spans="1:15" ht="22.5" customHeight="1" thickBot="1">
      <c r="A1230" s="115"/>
      <c r="B1230" s="115"/>
      <c r="C1230" s="115"/>
      <c r="D1230" s="115"/>
      <c r="E1230" s="115"/>
      <c r="F1230" s="115"/>
      <c r="G1230" s="116"/>
      <c r="H1230" s="116"/>
      <c r="I1230" s="116"/>
      <c r="J1230" s="273"/>
      <c r="K1230" s="273"/>
      <c r="L1230" s="273"/>
      <c r="M1230" s="273"/>
      <c r="N1230" s="273"/>
      <c r="O1230" s="273"/>
    </row>
    <row r="1231" spans="1:15" ht="15.75" thickTop="1">
      <c r="A1231" s="1000" t="s">
        <v>4</v>
      </c>
      <c r="B1231" s="75"/>
      <c r="C1231" s="1002" t="s">
        <v>918</v>
      </c>
      <c r="D1231" s="1096"/>
      <c r="E1231" s="1002" t="s">
        <v>919</v>
      </c>
      <c r="F1231" s="1003"/>
      <c r="G1231" s="1041"/>
      <c r="H1231" s="1042"/>
      <c r="I1231" s="1"/>
      <c r="J1231" s="273"/>
      <c r="K1231" s="273"/>
      <c r="L1231" s="273"/>
      <c r="M1231" s="286"/>
      <c r="N1231" s="286"/>
      <c r="O1231" s="286"/>
    </row>
    <row r="1232" spans="1:15" ht="15">
      <c r="A1232" s="1001"/>
      <c r="B1232" s="113"/>
      <c r="C1232" s="82" t="s">
        <v>70</v>
      </c>
      <c r="D1232" s="82"/>
      <c r="E1232" s="82" t="s">
        <v>70</v>
      </c>
      <c r="F1232" s="83"/>
      <c r="G1232" s="487"/>
      <c r="H1232" s="486"/>
      <c r="I1232" s="7"/>
      <c r="J1232" s="273"/>
      <c r="K1232" s="273"/>
      <c r="L1232" s="273"/>
      <c r="M1232" s="286"/>
      <c r="N1232" s="286"/>
      <c r="O1232" s="286"/>
    </row>
    <row r="1233" spans="1:15" ht="15">
      <c r="A1233" s="171" t="s">
        <v>49</v>
      </c>
      <c r="B1233" s="317" t="s">
        <v>11</v>
      </c>
      <c r="C1233" s="927">
        <f>CEILING(75*$Z$2,0.1)</f>
        <v>93.80000000000001</v>
      </c>
      <c r="D1233" s="247"/>
      <c r="E1233" s="900">
        <f>CEILING(115*$Z$2,0.1)</f>
        <v>143.8</v>
      </c>
      <c r="F1233" s="485"/>
      <c r="G1233" s="894"/>
      <c r="H1233" s="895"/>
      <c r="I1233" s="31"/>
      <c r="J1233" s="273"/>
      <c r="K1233" s="273"/>
      <c r="L1233" s="273"/>
      <c r="M1233" s="286"/>
      <c r="N1233" s="286"/>
      <c r="O1233" s="286"/>
    </row>
    <row r="1234" spans="1:15" ht="14.25" customHeight="1">
      <c r="A1234" s="172" t="s">
        <v>6</v>
      </c>
      <c r="B1234" s="317" t="s">
        <v>7</v>
      </c>
      <c r="C1234" s="928">
        <f>CEILING((C1233+50*$Z$2),0.1)</f>
        <v>156.3</v>
      </c>
      <c r="D1234" s="76"/>
      <c r="E1234" s="744">
        <f>CEILING((E1233+100*$Z$2),0.1)</f>
        <v>268.8</v>
      </c>
      <c r="F1234" s="8"/>
      <c r="G1234" s="894"/>
      <c r="H1234" s="895"/>
      <c r="I1234" s="7"/>
      <c r="J1234" s="273"/>
      <c r="K1234" s="273"/>
      <c r="L1234" s="273"/>
      <c r="M1234" s="286"/>
      <c r="N1234" s="286"/>
      <c r="O1234" s="286"/>
    </row>
    <row r="1235" spans="1:15" ht="14.25">
      <c r="A1235" s="515" t="s">
        <v>626</v>
      </c>
      <c r="B1235" s="417" t="s">
        <v>69</v>
      </c>
      <c r="C1235" s="928">
        <f>CEILING((C1233*0.85),0.1)</f>
        <v>79.80000000000001</v>
      </c>
      <c r="D1235" s="76"/>
      <c r="E1235" s="744">
        <f>CEILING((E1233*0.85),0.1)</f>
        <v>122.30000000000001</v>
      </c>
      <c r="F1235" s="8"/>
      <c r="G1235" s="894"/>
      <c r="H1235" s="895"/>
      <c r="I1235" s="7"/>
      <c r="J1235" s="273"/>
      <c r="K1235" s="273"/>
      <c r="L1235" s="273"/>
      <c r="M1235" s="286"/>
      <c r="N1235" s="286"/>
      <c r="O1235" s="286"/>
    </row>
    <row r="1236" spans="1:15" ht="14.25">
      <c r="A1236" s="515" t="s">
        <v>917</v>
      </c>
      <c r="B1236" s="418" t="s">
        <v>101</v>
      </c>
      <c r="C1236" s="928">
        <v>0</v>
      </c>
      <c r="D1236" s="76"/>
      <c r="E1236" s="744">
        <v>0</v>
      </c>
      <c r="F1236" s="8"/>
      <c r="G1236" s="894"/>
      <c r="H1236" s="895"/>
      <c r="I1236" s="7"/>
      <c r="J1236" s="273"/>
      <c r="K1236" s="273"/>
      <c r="L1236" s="273"/>
      <c r="M1236" s="286"/>
      <c r="N1236" s="286"/>
      <c r="O1236" s="286"/>
    </row>
    <row r="1237" spans="1:15" ht="15">
      <c r="A1237" s="172"/>
      <c r="B1237" s="317" t="s">
        <v>74</v>
      </c>
      <c r="C1237" s="928">
        <f>CEILING(85*$Z$2,0.1)</f>
        <v>106.30000000000001</v>
      </c>
      <c r="D1237" s="76"/>
      <c r="E1237" s="744">
        <f>CEILING(125*$Z$2,0.1)</f>
        <v>156.3</v>
      </c>
      <c r="F1237" s="8"/>
      <c r="G1237" s="894"/>
      <c r="H1237" s="895"/>
      <c r="I1237" s="7"/>
      <c r="J1237" s="273"/>
      <c r="K1237" s="273"/>
      <c r="L1237" s="273"/>
      <c r="M1237" s="273"/>
      <c r="N1237" s="273"/>
      <c r="O1237" s="273"/>
    </row>
    <row r="1238" spans="1:15" ht="15">
      <c r="A1238" s="172"/>
      <c r="B1238" s="317" t="s">
        <v>75</v>
      </c>
      <c r="C1238" s="928">
        <f>CEILING((C1237+50*$Z$2),0.1)</f>
        <v>168.8</v>
      </c>
      <c r="D1238" s="76"/>
      <c r="E1238" s="744">
        <f>CEILING((E1237+110*$Z$2),0.1)</f>
        <v>293.8</v>
      </c>
      <c r="F1238" s="8"/>
      <c r="G1238" s="894"/>
      <c r="H1238" s="895"/>
      <c r="I1238" s="7"/>
      <c r="J1238" s="273"/>
      <c r="K1238" s="273"/>
      <c r="L1238" s="273"/>
      <c r="M1238" s="273"/>
      <c r="N1238" s="273"/>
      <c r="O1238" s="273"/>
    </row>
    <row r="1239" spans="1:15" ht="15">
      <c r="A1239" s="172"/>
      <c r="B1239" s="292" t="s">
        <v>246</v>
      </c>
      <c r="C1239" s="928">
        <f>CEILING(105*$Z$2,0.1)</f>
        <v>131.3</v>
      </c>
      <c r="D1239" s="76"/>
      <c r="E1239" s="744">
        <f>CEILING(165*$Z$2,0.1)</f>
        <v>206.3</v>
      </c>
      <c r="F1239" s="8"/>
      <c r="G1239" s="894"/>
      <c r="H1239" s="895"/>
      <c r="I1239" s="7"/>
      <c r="J1239" s="273"/>
      <c r="K1239" s="273"/>
      <c r="L1239" s="273"/>
      <c r="M1239" s="273"/>
      <c r="N1239" s="273"/>
      <c r="O1239" s="273"/>
    </row>
    <row r="1240" spans="1:15" ht="15.75" thickBot="1">
      <c r="A1240" s="378" t="s">
        <v>326</v>
      </c>
      <c r="B1240" s="353" t="s">
        <v>324</v>
      </c>
      <c r="C1240" s="929">
        <f>CEILING((C1239+65*$Z$2),0.1)</f>
        <v>212.60000000000002</v>
      </c>
      <c r="D1240" s="77"/>
      <c r="E1240" s="745">
        <f>CEILING((E1239+110*$Z$2),0.1)</f>
        <v>343.8</v>
      </c>
      <c r="F1240" s="419"/>
      <c r="G1240" s="894"/>
      <c r="H1240" s="895"/>
      <c r="I1240" s="7"/>
      <c r="J1240" s="273"/>
      <c r="K1240" s="273"/>
      <c r="L1240" s="273"/>
      <c r="M1240" s="273"/>
      <c r="N1240" s="273"/>
      <c r="O1240" s="273"/>
    </row>
    <row r="1241" spans="1:15" ht="15" thickTop="1">
      <c r="A1241" s="677" t="s">
        <v>886</v>
      </c>
      <c r="B1241" s="676"/>
      <c r="C1241" s="45"/>
      <c r="D1241" s="45"/>
      <c r="E1241" s="45"/>
      <c r="F1241" s="45"/>
      <c r="G1241" s="45"/>
      <c r="H1241" s="45"/>
      <c r="I1241" s="7"/>
      <c r="J1241" s="273"/>
      <c r="K1241" s="273"/>
      <c r="L1241" s="273"/>
      <c r="M1241" s="273"/>
      <c r="N1241" s="273"/>
      <c r="O1241" s="273"/>
    </row>
    <row r="1242" spans="1:15" ht="14.25">
      <c r="A1242" s="365" t="s">
        <v>328</v>
      </c>
      <c r="B1242" s="403"/>
      <c r="C1242" s="45"/>
      <c r="D1242" s="45"/>
      <c r="E1242" s="45"/>
      <c r="F1242" s="45"/>
      <c r="G1242" s="45"/>
      <c r="H1242" s="45"/>
      <c r="I1242" s="7"/>
      <c r="J1242" s="273"/>
      <c r="K1242" s="273"/>
      <c r="L1242" s="273"/>
      <c r="M1242" s="273"/>
      <c r="N1242" s="273"/>
      <c r="O1242" s="273"/>
    </row>
    <row r="1243" spans="1:15" ht="14.25" hidden="1">
      <c r="A1243" s="544" t="s">
        <v>888</v>
      </c>
      <c r="B1243" s="403"/>
      <c r="C1243" s="45"/>
      <c r="D1243" s="45"/>
      <c r="E1243" s="45"/>
      <c r="F1243" s="45"/>
      <c r="G1243" s="45"/>
      <c r="H1243" s="45"/>
      <c r="I1243" s="7"/>
      <c r="J1243" s="273"/>
      <c r="K1243" s="273"/>
      <c r="L1243" s="273"/>
      <c r="M1243" s="273"/>
      <c r="N1243" s="273"/>
      <c r="O1243" s="273"/>
    </row>
    <row r="1244" spans="1:15" ht="15" thickBot="1">
      <c r="A1244" s="117"/>
      <c r="B1244" s="117"/>
      <c r="C1244" s="115"/>
      <c r="D1244" s="115"/>
      <c r="E1244" s="115"/>
      <c r="F1244" s="115"/>
      <c r="G1244" s="116"/>
      <c r="H1244" s="116"/>
      <c r="I1244" s="118"/>
      <c r="J1244" s="273"/>
      <c r="K1244" s="273"/>
      <c r="L1244" s="273"/>
      <c r="M1244" s="273"/>
      <c r="N1244" s="273"/>
      <c r="O1244" s="273"/>
    </row>
    <row r="1245" spans="1:15" ht="15.75" thickTop="1">
      <c r="A1245" s="1000" t="s">
        <v>4</v>
      </c>
      <c r="B1245" s="75"/>
      <c r="C1245" s="1002" t="s">
        <v>592</v>
      </c>
      <c r="D1245" s="1096"/>
      <c r="E1245" s="1002" t="s">
        <v>885</v>
      </c>
      <c r="F1245" s="1003"/>
      <c r="G1245" s="1041"/>
      <c r="H1245" s="1042"/>
      <c r="I1245" s="1"/>
      <c r="J1245" s="273"/>
      <c r="K1245" s="273"/>
      <c r="L1245" s="273"/>
      <c r="M1245" s="273"/>
      <c r="N1245" s="273"/>
      <c r="O1245" s="273"/>
    </row>
    <row r="1246" spans="1:15" ht="15">
      <c r="A1246" s="1001"/>
      <c r="B1246" s="113"/>
      <c r="C1246" s="82" t="s">
        <v>70</v>
      </c>
      <c r="D1246" s="82"/>
      <c r="E1246" s="82" t="s">
        <v>70</v>
      </c>
      <c r="F1246" s="83"/>
      <c r="G1246" s="487"/>
      <c r="H1246" s="486"/>
      <c r="I1246" s="7"/>
      <c r="J1246" s="273"/>
      <c r="K1246" s="273"/>
      <c r="L1246" s="273"/>
      <c r="M1246" s="273"/>
      <c r="N1246" s="273"/>
      <c r="O1246" s="273"/>
    </row>
    <row r="1247" spans="1:15" ht="16.5" customHeight="1">
      <c r="A1247" s="119" t="s">
        <v>94</v>
      </c>
      <c r="B1247" s="232" t="s">
        <v>11</v>
      </c>
      <c r="C1247" s="900">
        <f>CEILING(90*$Z$2,0.1)</f>
        <v>112.5</v>
      </c>
      <c r="D1247" s="247"/>
      <c r="E1247" s="900">
        <f>CEILING(80*$Z$2,0.1)</f>
        <v>100</v>
      </c>
      <c r="F1247" s="485"/>
      <c r="G1247" s="894"/>
      <c r="H1247" s="895"/>
      <c r="I1247" s="7"/>
      <c r="J1247" s="273"/>
      <c r="K1247" s="273"/>
      <c r="L1247" s="273"/>
      <c r="M1247" s="273"/>
      <c r="N1247" s="273"/>
      <c r="O1247" s="273"/>
    </row>
    <row r="1248" spans="1:15" ht="15">
      <c r="A1248" s="21" t="s">
        <v>18</v>
      </c>
      <c r="B1248" s="232" t="s">
        <v>7</v>
      </c>
      <c r="C1248" s="744">
        <f>CEILING((C1247+70*$Z$2),0.1)</f>
        <v>200</v>
      </c>
      <c r="D1248" s="76"/>
      <c r="E1248" s="744">
        <f>CEILING((E1247+70*$Z$2),0.1)</f>
        <v>187.5</v>
      </c>
      <c r="F1248" s="8"/>
      <c r="G1248" s="894"/>
      <c r="H1248" s="895"/>
      <c r="I1248" s="31"/>
      <c r="J1248" s="273"/>
      <c r="K1248" s="273"/>
      <c r="L1248" s="273"/>
      <c r="M1248" s="273"/>
      <c r="N1248" s="273"/>
      <c r="O1248" s="273"/>
    </row>
    <row r="1249" spans="1:15" ht="15">
      <c r="A1249" s="18"/>
      <c r="B1249" s="416" t="s">
        <v>69</v>
      </c>
      <c r="C1249" s="744">
        <f>CEILING((C1247*0.85),0.1)</f>
        <v>95.7</v>
      </c>
      <c r="D1249" s="76"/>
      <c r="E1249" s="744">
        <f>CEILING((E1247*0.85),0.1)</f>
        <v>85</v>
      </c>
      <c r="F1249" s="8"/>
      <c r="G1249" s="894"/>
      <c r="H1249" s="895"/>
      <c r="I1249" s="31"/>
      <c r="J1249" s="273"/>
      <c r="K1249" s="273"/>
      <c r="L1249" s="273"/>
      <c r="M1249" s="273"/>
      <c r="N1249" s="273"/>
      <c r="O1249" s="273"/>
    </row>
    <row r="1250" spans="1:15" ht="15">
      <c r="A1250" s="18"/>
      <c r="B1250" s="237" t="s">
        <v>101</v>
      </c>
      <c r="C1250" s="744">
        <v>0</v>
      </c>
      <c r="D1250" s="76"/>
      <c r="E1250" s="744">
        <v>0</v>
      </c>
      <c r="F1250" s="8"/>
      <c r="G1250" s="894"/>
      <c r="H1250" s="895"/>
      <c r="I1250" s="31"/>
      <c r="J1250" s="273"/>
      <c r="K1250" s="273"/>
      <c r="L1250" s="273"/>
      <c r="M1250" s="273"/>
      <c r="N1250" s="273"/>
      <c r="O1250" s="273"/>
    </row>
    <row r="1251" spans="1:15" ht="15">
      <c r="A1251" s="18"/>
      <c r="B1251" s="164" t="s">
        <v>95</v>
      </c>
      <c r="C1251" s="744">
        <f>CEILING(98*$Z$2,0.1)</f>
        <v>122.5</v>
      </c>
      <c r="D1251" s="76"/>
      <c r="E1251" s="744">
        <f>CEILING(88*$Z$2,0.1)</f>
        <v>110</v>
      </c>
      <c r="F1251" s="8"/>
      <c r="G1251" s="894"/>
      <c r="H1251" s="895"/>
      <c r="I1251" s="31"/>
      <c r="J1251" s="273"/>
      <c r="K1251" s="273"/>
      <c r="L1251" s="273"/>
      <c r="M1251" s="273"/>
      <c r="N1251" s="273"/>
      <c r="O1251" s="273"/>
    </row>
    <row r="1252" spans="1:15" ht="15">
      <c r="A1252" s="907"/>
      <c r="B1252" s="164" t="s">
        <v>96</v>
      </c>
      <c r="C1252" s="744">
        <f>CEILING((C1251+70*$Z$2),0.1)</f>
        <v>210</v>
      </c>
      <c r="D1252" s="76"/>
      <c r="E1252" s="744">
        <f>CEILING((E1251+70*$Z$2),0.1)</f>
        <v>197.5</v>
      </c>
      <c r="F1252" s="8"/>
      <c r="G1252" s="894"/>
      <c r="H1252" s="895"/>
      <c r="I1252" s="31"/>
      <c r="J1252" s="273"/>
      <c r="K1252" s="273"/>
      <c r="L1252" s="273"/>
      <c r="M1252" s="273"/>
      <c r="N1252" s="273"/>
      <c r="O1252" s="273"/>
    </row>
    <row r="1253" spans="1:15" ht="15.75" thickBot="1">
      <c r="A1253" s="378" t="s">
        <v>454</v>
      </c>
      <c r="B1253" s="165" t="s">
        <v>889</v>
      </c>
      <c r="C1253" s="745">
        <f>CEILING(140*$Z$2,0.1)</f>
        <v>175</v>
      </c>
      <c r="D1253" s="77"/>
      <c r="E1253" s="745">
        <f>CEILING(130*$Z$2,0.1)</f>
        <v>162.5</v>
      </c>
      <c r="F1253" s="419"/>
      <c r="G1253" s="894"/>
      <c r="H1253" s="895"/>
      <c r="I1253" s="31"/>
      <c r="J1253" s="273"/>
      <c r="K1253" s="273"/>
      <c r="L1253" s="273"/>
      <c r="M1253" s="273"/>
      <c r="N1253" s="273"/>
      <c r="O1253" s="273"/>
    </row>
    <row r="1254" spans="1:15" ht="15" thickTop="1">
      <c r="A1254" s="677" t="s">
        <v>886</v>
      </c>
      <c r="B1254" s="403"/>
      <c r="C1254" s="45"/>
      <c r="D1254" s="45"/>
      <c r="E1254" s="45"/>
      <c r="F1254" s="45"/>
      <c r="G1254" s="45"/>
      <c r="H1254" s="45"/>
      <c r="I1254" s="31"/>
      <c r="J1254" s="273"/>
      <c r="K1254" s="273"/>
      <c r="L1254" s="273"/>
      <c r="M1254" s="273"/>
      <c r="N1254" s="273"/>
      <c r="O1254" s="273"/>
    </row>
    <row r="1255" spans="1:15" ht="14.25">
      <c r="A1255" s="365" t="s">
        <v>890</v>
      </c>
      <c r="B1255" s="403"/>
      <c r="C1255" s="45"/>
      <c r="D1255" s="45"/>
      <c r="E1255" s="45"/>
      <c r="F1255" s="45"/>
      <c r="G1255" s="45"/>
      <c r="H1255" s="45"/>
      <c r="I1255" s="31"/>
      <c r="J1255" s="273"/>
      <c r="K1255" s="273"/>
      <c r="L1255" s="273"/>
      <c r="M1255" s="273"/>
      <c r="N1255" s="273"/>
      <c r="O1255" s="273"/>
    </row>
    <row r="1256" spans="1:15" ht="15.75" customHeight="1">
      <c r="A1256" s="544" t="s">
        <v>891</v>
      </c>
      <c r="B1256" s="403"/>
      <c r="C1256" s="45"/>
      <c r="D1256" s="45"/>
      <c r="E1256" s="45"/>
      <c r="F1256" s="45"/>
      <c r="G1256" s="45"/>
      <c r="H1256" s="45"/>
      <c r="I1256" s="31"/>
      <c r="J1256" s="273"/>
      <c r="K1256" s="273"/>
      <c r="L1256" s="273"/>
      <c r="M1256" s="273"/>
      <c r="N1256" s="273"/>
      <c r="O1256" s="273"/>
    </row>
    <row r="1257" spans="1:15" ht="15" thickBot="1">
      <c r="A1257" s="10"/>
      <c r="B1257" s="10"/>
      <c r="C1257" s="10"/>
      <c r="D1257" s="10"/>
      <c r="E1257" s="7"/>
      <c r="F1257" s="7"/>
      <c r="G1257" s="7"/>
      <c r="H1257" s="7"/>
      <c r="I1257" s="1"/>
      <c r="J1257" s="273"/>
      <c r="K1257" s="273"/>
      <c r="L1257" s="273"/>
      <c r="M1257" s="273"/>
      <c r="N1257" s="273"/>
      <c r="O1257" s="273"/>
    </row>
    <row r="1258" spans="1:15" ht="15.75" thickTop="1">
      <c r="A1258" s="1078" t="s">
        <v>4</v>
      </c>
      <c r="B1258" s="81"/>
      <c r="C1258" s="1026" t="s">
        <v>625</v>
      </c>
      <c r="D1258" s="1034"/>
      <c r="E1258" s="1028"/>
      <c r="F1258" s="1029"/>
      <c r="G1258" s="1029"/>
      <c r="H1258" s="1029"/>
      <c r="I1258" s="7"/>
      <c r="J1258" s="286"/>
      <c r="K1258" s="286"/>
      <c r="L1258" s="286"/>
      <c r="M1258" s="273"/>
      <c r="N1258" s="273"/>
      <c r="O1258" s="273"/>
    </row>
    <row r="1259" spans="1:15" ht="14.25">
      <c r="A1259" s="1079"/>
      <c r="B1259" s="81"/>
      <c r="C1259" s="82" t="s">
        <v>70</v>
      </c>
      <c r="D1259" s="83"/>
      <c r="E1259" s="487"/>
      <c r="F1259" s="486"/>
      <c r="G1259" s="486"/>
      <c r="H1259" s="486"/>
      <c r="I1259" s="7"/>
      <c r="J1259" s="286"/>
      <c r="K1259" s="286"/>
      <c r="L1259" s="286"/>
      <c r="M1259" s="273"/>
      <c r="N1259" s="273"/>
      <c r="O1259" s="273"/>
    </row>
    <row r="1260" spans="1:15" ht="16.5" customHeight="1">
      <c r="A1260" s="18" t="s">
        <v>37</v>
      </c>
      <c r="B1260" s="225" t="s">
        <v>11</v>
      </c>
      <c r="C1260" s="916">
        <f>CEILING(70*$Z$2,0.1)</f>
        <v>87.5</v>
      </c>
      <c r="D1260" s="485"/>
      <c r="E1260" s="912"/>
      <c r="F1260" s="914"/>
      <c r="G1260" s="914"/>
      <c r="H1260" s="604"/>
      <c r="I1260" s="7"/>
      <c r="J1260" s="286"/>
      <c r="K1260" s="286"/>
      <c r="L1260" s="286"/>
      <c r="M1260" s="273"/>
      <c r="N1260" s="273"/>
      <c r="O1260" s="273"/>
    </row>
    <row r="1261" spans="1:15" ht="15">
      <c r="A1261" s="21" t="s">
        <v>6</v>
      </c>
      <c r="B1261" s="139" t="s">
        <v>7</v>
      </c>
      <c r="C1261" s="916">
        <f>CEILING(100*$Z$2,0.1)</f>
        <v>125</v>
      </c>
      <c r="D1261" s="8"/>
      <c r="E1261" s="912"/>
      <c r="F1261" s="914"/>
      <c r="G1261" s="914"/>
      <c r="H1261" s="604"/>
      <c r="I1261" s="7"/>
      <c r="J1261" s="286"/>
      <c r="K1261" s="286"/>
      <c r="L1261" s="286"/>
      <c r="M1261" s="273"/>
      <c r="N1261" s="273"/>
      <c r="O1261" s="273"/>
    </row>
    <row r="1262" spans="1:15" ht="16.5" customHeight="1">
      <c r="A1262" s="515" t="s">
        <v>910</v>
      </c>
      <c r="B1262" s="114" t="s">
        <v>69</v>
      </c>
      <c r="C1262" s="916">
        <f>CEILING((C1260*0.85),0.1)</f>
        <v>74.4</v>
      </c>
      <c r="D1262" s="8"/>
      <c r="E1262" s="912"/>
      <c r="F1262" s="914"/>
      <c r="G1262" s="914"/>
      <c r="H1262" s="604"/>
      <c r="I1262" s="7"/>
      <c r="J1262" s="286"/>
      <c r="K1262" s="286"/>
      <c r="L1262" s="286"/>
      <c r="M1262" s="273"/>
      <c r="N1262" s="273"/>
      <c r="O1262" s="273"/>
    </row>
    <row r="1263" spans="1:15" ht="17.25" customHeight="1" thickBot="1">
      <c r="A1263" s="63" t="s">
        <v>420</v>
      </c>
      <c r="B1263" s="310" t="s">
        <v>182</v>
      </c>
      <c r="C1263" s="917">
        <f>CEILING((C1260*0.5),0.1)</f>
        <v>43.800000000000004</v>
      </c>
      <c r="D1263" s="419"/>
      <c r="E1263" s="912"/>
      <c r="F1263" s="914"/>
      <c r="G1263" s="914"/>
      <c r="H1263" s="604"/>
      <c r="I1263" s="7"/>
      <c r="J1263" s="286"/>
      <c r="K1263" s="286"/>
      <c r="L1263" s="286"/>
      <c r="M1263" s="273"/>
      <c r="N1263" s="273"/>
      <c r="O1263" s="273"/>
    </row>
    <row r="1264" spans="1:15" ht="18" customHeight="1" thickTop="1">
      <c r="A1264" s="616" t="s">
        <v>702</v>
      </c>
      <c r="B1264" s="120"/>
      <c r="C1264" s="121"/>
      <c r="D1264" s="121"/>
      <c r="E1264" s="45"/>
      <c r="F1264" s="45"/>
      <c r="G1264" s="45"/>
      <c r="H1264" s="45"/>
      <c r="I1264" s="7"/>
      <c r="J1264" s="273"/>
      <c r="K1264" s="273"/>
      <c r="L1264" s="273"/>
      <c r="M1264" s="273"/>
      <c r="N1264" s="273"/>
      <c r="O1264" s="273"/>
    </row>
    <row r="1265" spans="1:15" ht="17.25" customHeight="1" thickBot="1">
      <c r="A1265" s="122"/>
      <c r="B1265" s="123"/>
      <c r="C1265" s="121"/>
      <c r="D1265" s="121"/>
      <c r="E1265" s="45"/>
      <c r="F1265" s="45"/>
      <c r="G1265" s="45"/>
      <c r="H1265" s="45"/>
      <c r="I1265" s="7"/>
      <c r="J1265" s="273"/>
      <c r="K1265" s="273"/>
      <c r="L1265" s="273"/>
      <c r="M1265" s="273"/>
      <c r="N1265" s="273"/>
      <c r="O1265" s="273"/>
    </row>
    <row r="1266" spans="1:15" ht="15.75" thickTop="1">
      <c r="A1266" s="1000" t="s">
        <v>4</v>
      </c>
      <c r="B1266" s="75"/>
      <c r="C1266" s="1026" t="s">
        <v>625</v>
      </c>
      <c r="D1266" s="1034"/>
      <c r="E1266" s="1028"/>
      <c r="F1266" s="1029"/>
      <c r="G1266" s="1029"/>
      <c r="H1266" s="1029"/>
      <c r="I1266" s="7"/>
      <c r="J1266" s="273"/>
      <c r="K1266" s="273"/>
      <c r="L1266" s="273"/>
      <c r="M1266" s="286"/>
      <c r="N1266" s="286"/>
      <c r="O1266" s="286"/>
    </row>
    <row r="1267" spans="1:15" ht="15">
      <c r="A1267" s="1001"/>
      <c r="B1267" s="113"/>
      <c r="C1267" s="82" t="s">
        <v>70</v>
      </c>
      <c r="D1267" s="83"/>
      <c r="E1267" s="487"/>
      <c r="F1267" s="486"/>
      <c r="G1267" s="486"/>
      <c r="H1267" s="486"/>
      <c r="I1267" s="7"/>
      <c r="J1267" s="273"/>
      <c r="K1267" s="273"/>
      <c r="L1267" s="273"/>
      <c r="M1267" s="286"/>
      <c r="N1267" s="286"/>
      <c r="O1267" s="286"/>
    </row>
    <row r="1268" spans="1:15" ht="14.25" customHeight="1">
      <c r="A1268" s="650" t="s">
        <v>519</v>
      </c>
      <c r="B1268" s="568" t="s">
        <v>11</v>
      </c>
      <c r="C1268" s="892">
        <f>CEILING(90*$Z$2,0.1)</f>
        <v>112.5</v>
      </c>
      <c r="D1268" s="402"/>
      <c r="E1268" s="894"/>
      <c r="F1268" s="895"/>
      <c r="G1268" s="657"/>
      <c r="H1268" s="657"/>
      <c r="I1268" s="7"/>
      <c r="J1268" s="273"/>
      <c r="K1268" s="273"/>
      <c r="L1268" s="273"/>
      <c r="M1268" s="286"/>
      <c r="N1268" s="286"/>
      <c r="O1268" s="286"/>
    </row>
    <row r="1269" spans="1:15" ht="15">
      <c r="A1269" s="651" t="s">
        <v>6</v>
      </c>
      <c r="B1269" s="568" t="s">
        <v>7</v>
      </c>
      <c r="C1269" s="884">
        <f>CEILING((C1268+50*$Z$2),0.1)</f>
        <v>175</v>
      </c>
      <c r="D1269" s="661"/>
      <c r="E1269" s="894"/>
      <c r="F1269" s="895"/>
      <c r="G1269" s="657"/>
      <c r="H1269" s="657"/>
      <c r="I1269" s="7"/>
      <c r="J1269" s="273"/>
      <c r="K1269" s="273"/>
      <c r="L1269" s="273"/>
      <c r="M1269" s="286"/>
      <c r="N1269" s="286"/>
      <c r="O1269" s="286"/>
    </row>
    <row r="1270" spans="1:15" ht="15">
      <c r="A1270" s="650"/>
      <c r="B1270" s="652" t="s">
        <v>69</v>
      </c>
      <c r="C1270" s="884">
        <f>CEILING(86*$Z$2,0.1)</f>
        <v>107.5</v>
      </c>
      <c r="D1270" s="661"/>
      <c r="E1270" s="894"/>
      <c r="F1270" s="895"/>
      <c r="G1270" s="657"/>
      <c r="H1270" s="657"/>
      <c r="I1270" s="7"/>
      <c r="J1270" s="273"/>
      <c r="K1270" s="273"/>
      <c r="L1270" s="273"/>
      <c r="M1270" s="286"/>
      <c r="N1270" s="286"/>
      <c r="O1270" s="286"/>
    </row>
    <row r="1271" spans="1:15" ht="15.75" thickBot="1">
      <c r="A1271" s="675" t="s">
        <v>520</v>
      </c>
      <c r="B1271" s="903" t="s">
        <v>101</v>
      </c>
      <c r="C1271" s="883">
        <f>CEILING((C1268*0.5),0.1)</f>
        <v>56.300000000000004</v>
      </c>
      <c r="D1271" s="647"/>
      <c r="E1271" s="894"/>
      <c r="F1271" s="895"/>
      <c r="G1271" s="657"/>
      <c r="H1271" s="657"/>
      <c r="I1271" s="7"/>
      <c r="J1271" s="273"/>
      <c r="K1271" s="273"/>
      <c r="L1271" s="273"/>
      <c r="M1271" s="286"/>
      <c r="N1271" s="286"/>
      <c r="O1271" s="286"/>
    </row>
    <row r="1272" spans="1:15" ht="24.75" customHeight="1" thickBot="1" thickTop="1">
      <c r="A1272" s="360"/>
      <c r="B1272" s="158"/>
      <c r="C1272" s="45"/>
      <c r="D1272" s="45"/>
      <c r="E1272" s="45"/>
      <c r="F1272" s="45"/>
      <c r="G1272" s="45"/>
      <c r="H1272" s="45"/>
      <c r="I1272" s="7"/>
      <c r="J1272" s="273"/>
      <c r="K1272" s="273"/>
      <c r="L1272" s="273"/>
      <c r="M1272" s="273"/>
      <c r="N1272" s="273"/>
      <c r="O1272" s="273"/>
    </row>
    <row r="1273" spans="1:15" ht="15.75" thickTop="1">
      <c r="A1273" s="1000" t="s">
        <v>4</v>
      </c>
      <c r="B1273" s="75"/>
      <c r="C1273" s="1026" t="s">
        <v>625</v>
      </c>
      <c r="D1273" s="1034"/>
      <c r="E1273" s="1028"/>
      <c r="F1273" s="1029"/>
      <c r="G1273" s="1029"/>
      <c r="H1273" s="1029"/>
      <c r="I1273" s="7"/>
      <c r="J1273" s="273"/>
      <c r="K1273" s="273"/>
      <c r="L1273" s="273"/>
      <c r="M1273" s="273"/>
      <c r="N1273" s="273"/>
      <c r="O1273" s="273"/>
    </row>
    <row r="1274" spans="1:15" ht="15">
      <c r="A1274" s="1001"/>
      <c r="B1274" s="113"/>
      <c r="C1274" s="82" t="s">
        <v>70</v>
      </c>
      <c r="D1274" s="83"/>
      <c r="E1274" s="487"/>
      <c r="F1274" s="486"/>
      <c r="G1274" s="486"/>
      <c r="H1274" s="486"/>
      <c r="I1274" s="7"/>
      <c r="J1274" s="273"/>
      <c r="K1274" s="273"/>
      <c r="L1274" s="273"/>
      <c r="M1274" s="273"/>
      <c r="N1274" s="273"/>
      <c r="O1274" s="273"/>
    </row>
    <row r="1275" spans="1:15" ht="15">
      <c r="A1275" s="269" t="s">
        <v>266</v>
      </c>
      <c r="B1275" s="612" t="s">
        <v>11</v>
      </c>
      <c r="C1275" s="881">
        <f>CEILING(78*$Z$2,0.1)</f>
        <v>97.5</v>
      </c>
      <c r="D1275" s="485"/>
      <c r="E1275" s="894"/>
      <c r="F1275" s="895"/>
      <c r="G1275" s="895"/>
      <c r="H1275" s="895"/>
      <c r="I1275" s="7"/>
      <c r="J1275" s="273"/>
      <c r="K1275" s="273"/>
      <c r="L1275" s="273"/>
      <c r="M1275" s="273"/>
      <c r="N1275" s="273"/>
      <c r="O1275" s="273"/>
    </row>
    <row r="1276" spans="1:15" ht="15">
      <c r="A1276" s="270" t="s">
        <v>18</v>
      </c>
      <c r="B1276" s="613" t="s">
        <v>7</v>
      </c>
      <c r="C1276" s="882">
        <f>CEILING(133*$Z$2,0.1)</f>
        <v>166.3</v>
      </c>
      <c r="D1276" s="8"/>
      <c r="E1276" s="894"/>
      <c r="F1276" s="895"/>
      <c r="G1276" s="895"/>
      <c r="H1276" s="895"/>
      <c r="I1276" s="7"/>
      <c r="J1276" s="273"/>
      <c r="K1276" s="273"/>
      <c r="L1276" s="273"/>
      <c r="M1276" s="273"/>
      <c r="N1276" s="273"/>
      <c r="O1276" s="273"/>
    </row>
    <row r="1277" spans="1:15" ht="14.25">
      <c r="A1277" s="362"/>
      <c r="B1277" s="614" t="s">
        <v>69</v>
      </c>
      <c r="C1277" s="882">
        <f>CEILING((C1275*0.85),0.1)</f>
        <v>82.9</v>
      </c>
      <c r="D1277" s="8"/>
      <c r="E1277" s="894"/>
      <c r="F1277" s="895"/>
      <c r="G1277" s="895"/>
      <c r="H1277" s="895"/>
      <c r="I1277" s="7"/>
      <c r="J1277" s="273"/>
      <c r="K1277" s="273"/>
      <c r="L1277" s="273"/>
      <c r="M1277" s="273"/>
      <c r="N1277" s="273"/>
      <c r="O1277" s="273"/>
    </row>
    <row r="1278" spans="1:15" ht="14.25">
      <c r="A1278" s="362"/>
      <c r="B1278" s="527" t="s">
        <v>97</v>
      </c>
      <c r="C1278" s="882">
        <f>CEILING((C1275*0.5),0.1)</f>
        <v>48.800000000000004</v>
      </c>
      <c r="D1278" s="8"/>
      <c r="E1278" s="894"/>
      <c r="F1278" s="895"/>
      <c r="G1278" s="895"/>
      <c r="H1278" s="895"/>
      <c r="I1278" s="7"/>
      <c r="J1278" s="273"/>
      <c r="K1278" s="273"/>
      <c r="L1278" s="273"/>
      <c r="M1278" s="273"/>
      <c r="N1278" s="273"/>
      <c r="O1278" s="273"/>
    </row>
    <row r="1279" spans="1:15" ht="14.25">
      <c r="A1279" s="362"/>
      <c r="B1279" s="613" t="s">
        <v>404</v>
      </c>
      <c r="C1279" s="882">
        <f>CEILING(86*$Z$2,0.1)</f>
        <v>107.5</v>
      </c>
      <c r="D1279" s="8"/>
      <c r="E1279" s="894"/>
      <c r="F1279" s="895"/>
      <c r="G1279" s="895"/>
      <c r="H1279" s="895"/>
      <c r="I1279" s="7"/>
      <c r="J1279" s="273"/>
      <c r="K1279" s="273"/>
      <c r="L1279" s="273"/>
      <c r="M1279" s="273"/>
      <c r="N1279" s="273"/>
      <c r="O1279" s="273"/>
    </row>
    <row r="1280" spans="1:15" ht="14.25">
      <c r="A1280" s="362"/>
      <c r="B1280" s="613" t="s">
        <v>405</v>
      </c>
      <c r="C1280" s="882">
        <f>CEILING(146*$Z$2,0.1)</f>
        <v>182.5</v>
      </c>
      <c r="D1280" s="8"/>
      <c r="E1280" s="894"/>
      <c r="F1280" s="895"/>
      <c r="G1280" s="895"/>
      <c r="H1280" s="895"/>
      <c r="I1280" s="7"/>
      <c r="J1280" s="273"/>
      <c r="K1280" s="273"/>
      <c r="L1280" s="273"/>
      <c r="M1280" s="273"/>
      <c r="N1280" s="273"/>
      <c r="O1280" s="273"/>
    </row>
    <row r="1281" spans="1:15" ht="14.25">
      <c r="A1281" s="362"/>
      <c r="B1281" s="613" t="s">
        <v>104</v>
      </c>
      <c r="C1281" s="744">
        <f>CEILING(108*$Z$2,0.1)</f>
        <v>135</v>
      </c>
      <c r="D1281" s="8"/>
      <c r="E1281" s="894"/>
      <c r="F1281" s="895"/>
      <c r="G1281" s="895"/>
      <c r="H1281" s="895"/>
      <c r="I1281" s="7"/>
      <c r="J1281" s="273"/>
      <c r="K1281" s="273"/>
      <c r="L1281" s="273"/>
      <c r="M1281" s="273"/>
      <c r="N1281" s="273"/>
      <c r="O1281" s="273"/>
    </row>
    <row r="1282" spans="1:15" ht="16.5" customHeight="1" thickBot="1">
      <c r="A1282" s="363" t="s">
        <v>267</v>
      </c>
      <c r="B1282" s="615" t="s">
        <v>105</v>
      </c>
      <c r="C1282" s="745">
        <f>CEILING(184*$Z$2,0.1)</f>
        <v>230</v>
      </c>
      <c r="D1282" s="419"/>
      <c r="E1282" s="894"/>
      <c r="F1282" s="895"/>
      <c r="G1282" s="895"/>
      <c r="H1282" s="895"/>
      <c r="I1282" s="7"/>
      <c r="J1282" s="273"/>
      <c r="K1282" s="273"/>
      <c r="L1282" s="273"/>
      <c r="M1282" s="273"/>
      <c r="N1282" s="273"/>
      <c r="O1282" s="273"/>
    </row>
    <row r="1283" spans="1:15" ht="15" thickTop="1">
      <c r="A1283" s="616" t="s">
        <v>490</v>
      </c>
      <c r="B1283" s="30"/>
      <c r="C1283" s="349"/>
      <c r="D1283" s="349"/>
      <c r="E1283" s="349"/>
      <c r="F1283" s="349"/>
      <c r="G1283" s="349"/>
      <c r="H1283" s="349"/>
      <c r="I1283" s="7"/>
      <c r="J1283" s="273"/>
      <c r="K1283" s="273"/>
      <c r="L1283" s="273"/>
      <c r="M1283" s="273"/>
      <c r="N1283" s="273"/>
      <c r="O1283" s="273"/>
    </row>
    <row r="1284" spans="1:15" ht="17.25" customHeight="1" thickBot="1">
      <c r="A1284" s="66"/>
      <c r="B1284" s="295"/>
      <c r="C1284" s="45"/>
      <c r="D1284" s="45"/>
      <c r="E1284" s="45"/>
      <c r="F1284" s="45"/>
      <c r="G1284" s="45"/>
      <c r="H1284" s="45"/>
      <c r="I1284" s="7"/>
      <c r="J1284" s="273"/>
      <c r="K1284" s="273"/>
      <c r="L1284" s="273"/>
      <c r="M1284" s="273"/>
      <c r="N1284" s="273"/>
      <c r="O1284" s="273"/>
    </row>
    <row r="1285" spans="1:15" ht="15.75" thickTop="1">
      <c r="A1285" s="1098" t="s">
        <v>4</v>
      </c>
      <c r="B1285" s="81"/>
      <c r="C1285" s="1026" t="s">
        <v>600</v>
      </c>
      <c r="D1285" s="1034"/>
      <c r="E1285" s="1026" t="s">
        <v>599</v>
      </c>
      <c r="F1285" s="1034"/>
      <c r="G1285" s="1028"/>
      <c r="H1285" s="1029"/>
      <c r="I1285" s="17"/>
      <c r="J1285" s="273"/>
      <c r="K1285" s="273"/>
      <c r="L1285" s="273"/>
      <c r="M1285" s="273"/>
      <c r="N1285" s="273"/>
      <c r="O1285" s="273"/>
    </row>
    <row r="1286" spans="1:15" ht="14.25">
      <c r="A1286" s="1079"/>
      <c r="B1286" s="81"/>
      <c r="C1286" s="82" t="s">
        <v>70</v>
      </c>
      <c r="D1286" s="82"/>
      <c r="E1286" s="82" t="s">
        <v>70</v>
      </c>
      <c r="F1286" s="83"/>
      <c r="G1286" s="487"/>
      <c r="H1286" s="486"/>
      <c r="I1286" s="17"/>
      <c r="J1286" s="273"/>
      <c r="K1286" s="273"/>
      <c r="L1286" s="273"/>
      <c r="M1286" s="273"/>
      <c r="N1286" s="273"/>
      <c r="O1286" s="273"/>
    </row>
    <row r="1287" spans="1:15" ht="15">
      <c r="A1287" s="18" t="s">
        <v>115</v>
      </c>
      <c r="B1287" s="612" t="s">
        <v>11</v>
      </c>
      <c r="C1287" s="743">
        <f>CEILING(80*$Z$2,0.1)</f>
        <v>100</v>
      </c>
      <c r="D1287" s="743"/>
      <c r="E1287" s="746">
        <f>CEILING(55*$Z$2,0.1)</f>
        <v>68.8</v>
      </c>
      <c r="F1287" s="747"/>
      <c r="G1287" s="739"/>
      <c r="H1287" s="738"/>
      <c r="I1287" s="17"/>
      <c r="J1287" s="273"/>
      <c r="K1287" s="273"/>
      <c r="L1287" s="273"/>
      <c r="M1287" s="273"/>
      <c r="N1287" s="273"/>
      <c r="O1287" s="273"/>
    </row>
    <row r="1288" spans="1:15" ht="15">
      <c r="A1288" s="21" t="s">
        <v>18</v>
      </c>
      <c r="B1288" s="613" t="s">
        <v>7</v>
      </c>
      <c r="C1288" s="741">
        <f>CEILING((C1287+40*$Z$2),0.1)</f>
        <v>150</v>
      </c>
      <c r="D1288" s="744"/>
      <c r="E1288" s="741">
        <f>CEILING((E1287+40*$Z$2),0.1)</f>
        <v>118.80000000000001</v>
      </c>
      <c r="F1288" s="744"/>
      <c r="G1288" s="739"/>
      <c r="H1288" s="738"/>
      <c r="I1288" s="17"/>
      <c r="J1288" s="273"/>
      <c r="K1288" s="273"/>
      <c r="L1288" s="273"/>
      <c r="M1288" s="273"/>
      <c r="N1288" s="273"/>
      <c r="O1288" s="273"/>
    </row>
    <row r="1289" spans="1:15" ht="14.25">
      <c r="A1289" s="259"/>
      <c r="B1289" s="614" t="s">
        <v>69</v>
      </c>
      <c r="C1289" s="741">
        <f>CEILING((C1287*0.85),0.1)</f>
        <v>85</v>
      </c>
      <c r="D1289" s="744"/>
      <c r="E1289" s="741">
        <f>CEILING((E1287*0.85),0.1)</f>
        <v>58.5</v>
      </c>
      <c r="F1289" s="744"/>
      <c r="G1289" s="739"/>
      <c r="H1289" s="738"/>
      <c r="I1289" s="17"/>
      <c r="J1289" s="273"/>
      <c r="K1289" s="273"/>
      <c r="L1289" s="273"/>
      <c r="M1289" s="273"/>
      <c r="N1289" s="273"/>
      <c r="O1289" s="273"/>
    </row>
    <row r="1290" spans="1:15" ht="14.25">
      <c r="A1290" s="348"/>
      <c r="B1290" s="641" t="s">
        <v>101</v>
      </c>
      <c r="C1290" s="741">
        <f>CEILING((C1287*0.5),0.1)</f>
        <v>50</v>
      </c>
      <c r="D1290" s="741"/>
      <c r="E1290" s="741">
        <f>CEILING((E1287*0.5),0.1)</f>
        <v>34.4</v>
      </c>
      <c r="F1290" s="741"/>
      <c r="G1290" s="739"/>
      <c r="H1290" s="738"/>
      <c r="I1290" s="17"/>
      <c r="J1290" s="273"/>
      <c r="K1290" s="273"/>
      <c r="L1290" s="273"/>
      <c r="M1290" s="273"/>
      <c r="N1290" s="273"/>
      <c r="O1290" s="273"/>
    </row>
    <row r="1291" spans="1:15" ht="14.25">
      <c r="A1291" s="742"/>
      <c r="B1291" s="613" t="s">
        <v>14</v>
      </c>
      <c r="C1291" s="741">
        <f>CEILING(140*$Z$2,0.1)</f>
        <v>175</v>
      </c>
      <c r="D1291" s="744"/>
      <c r="E1291" s="741">
        <f>CEILING(105*$Z$2,0.1)</f>
        <v>131.3</v>
      </c>
      <c r="F1291" s="744"/>
      <c r="G1291" s="739"/>
      <c r="H1291" s="738"/>
      <c r="I1291" s="17"/>
      <c r="J1291" s="273"/>
      <c r="K1291" s="273"/>
      <c r="L1291" s="273"/>
      <c r="M1291" s="273"/>
      <c r="N1291" s="273"/>
      <c r="O1291" s="273"/>
    </row>
    <row r="1292" spans="1:15" ht="15" thickBot="1">
      <c r="A1292" s="363" t="s">
        <v>487</v>
      </c>
      <c r="B1292" s="615" t="s">
        <v>261</v>
      </c>
      <c r="C1292" s="776">
        <f>CEILING(180*$Z$2,0.1)</f>
        <v>225</v>
      </c>
      <c r="D1292" s="745"/>
      <c r="E1292" s="776">
        <f>CEILING(145*$Z$2,0.1)</f>
        <v>181.3</v>
      </c>
      <c r="F1292" s="745"/>
      <c r="G1292" s="739"/>
      <c r="H1292" s="738"/>
      <c r="I1292" s="17"/>
      <c r="J1292" s="273"/>
      <c r="K1292" s="273"/>
      <c r="L1292" s="273"/>
      <c r="M1292" s="273"/>
      <c r="N1292" s="273"/>
      <c r="O1292" s="273"/>
    </row>
    <row r="1293" spans="1:15" ht="15" thickTop="1">
      <c r="A1293" s="771" t="s">
        <v>751</v>
      </c>
      <c r="B1293" s="642"/>
      <c r="C1293" s="764"/>
      <c r="D1293" s="764"/>
      <c r="E1293" s="764"/>
      <c r="F1293" s="764"/>
      <c r="G1293" s="774"/>
      <c r="H1293" s="774"/>
      <c r="I1293" s="17"/>
      <c r="J1293" s="273"/>
      <c r="K1293" s="273"/>
      <c r="L1293" s="273"/>
      <c r="M1293" s="273"/>
      <c r="N1293" s="273"/>
      <c r="O1293" s="273"/>
    </row>
    <row r="1294" spans="1:15" ht="15.75" customHeight="1" thickBot="1">
      <c r="A1294" s="66"/>
      <c r="B1294" s="295"/>
      <c r="C1294" s="68"/>
      <c r="D1294" s="68"/>
      <c r="E1294" s="68"/>
      <c r="F1294" s="68"/>
      <c r="G1294" s="45"/>
      <c r="H1294" s="45"/>
      <c r="I1294" s="17"/>
      <c r="J1294" s="273"/>
      <c r="K1294" s="273"/>
      <c r="L1294" s="273"/>
      <c r="M1294" s="273"/>
      <c r="N1294" s="273"/>
      <c r="O1294" s="273"/>
    </row>
    <row r="1295" spans="1:15" ht="15.75" thickTop="1">
      <c r="A1295" s="1098" t="s">
        <v>4</v>
      </c>
      <c r="B1295" s="81"/>
      <c r="C1295" s="1002" t="s">
        <v>592</v>
      </c>
      <c r="D1295" s="1096"/>
      <c r="E1295" s="1002" t="s">
        <v>593</v>
      </c>
      <c r="F1295" s="1096"/>
      <c r="G1295" s="1002" t="s">
        <v>594</v>
      </c>
      <c r="H1295" s="1096"/>
      <c r="I1295" s="7"/>
      <c r="J1295" s="286"/>
      <c r="K1295" s="286"/>
      <c r="L1295" s="286"/>
      <c r="M1295" s="273"/>
      <c r="N1295" s="273"/>
      <c r="O1295" s="273"/>
    </row>
    <row r="1296" spans="1:15" ht="14.25">
      <c r="A1296" s="1079"/>
      <c r="B1296" s="81"/>
      <c r="C1296" s="301" t="s">
        <v>70</v>
      </c>
      <c r="D1296" s="301"/>
      <c r="E1296" s="301" t="s">
        <v>70</v>
      </c>
      <c r="F1296" s="301"/>
      <c r="G1296" s="301" t="s">
        <v>70</v>
      </c>
      <c r="H1296" s="301"/>
      <c r="I1296" s="1"/>
      <c r="J1296" s="286"/>
      <c r="K1296" s="286"/>
      <c r="L1296" s="286"/>
      <c r="M1296" s="273"/>
      <c r="N1296" s="273"/>
      <c r="O1296" s="273"/>
    </row>
    <row r="1297" spans="1:15" ht="15.75" customHeight="1">
      <c r="A1297" s="18" t="s">
        <v>900</v>
      </c>
      <c r="B1297" s="225" t="s">
        <v>11</v>
      </c>
      <c r="C1297" s="919">
        <f>CEILING(60*$Z$1,0.1)</f>
        <v>75</v>
      </c>
      <c r="D1297" s="247"/>
      <c r="E1297" s="919">
        <f>CEILING(65*$Z$1,0.1)</f>
        <v>81.30000000000001</v>
      </c>
      <c r="F1297" s="247"/>
      <c r="G1297" s="919">
        <f>CEILING(60*$Z$1,0.1)</f>
        <v>75</v>
      </c>
      <c r="H1297" s="247"/>
      <c r="I1297" s="7"/>
      <c r="J1297" s="286"/>
      <c r="K1297" s="286"/>
      <c r="L1297" s="286"/>
      <c r="M1297" s="273"/>
      <c r="N1297" s="273"/>
      <c r="O1297" s="273"/>
    </row>
    <row r="1298" spans="1:15" ht="14.25">
      <c r="A1298" s="515" t="s">
        <v>898</v>
      </c>
      <c r="B1298" s="139" t="s">
        <v>7</v>
      </c>
      <c r="C1298" s="909">
        <f>CEILING((C1297+45*$Z$1),0.1)</f>
        <v>131.3</v>
      </c>
      <c r="D1298" s="76"/>
      <c r="E1298" s="909">
        <f>CEILING((E1297+45*$Z$1),0.1)</f>
        <v>137.6</v>
      </c>
      <c r="F1298" s="76"/>
      <c r="G1298" s="909">
        <f>CEILING((G1297+45*$Z$1),0.1)</f>
        <v>131.3</v>
      </c>
      <c r="H1298" s="76"/>
      <c r="I1298" s="7"/>
      <c r="J1298" s="286"/>
      <c r="K1298" s="286"/>
      <c r="L1298" s="286"/>
      <c r="M1298" s="273"/>
      <c r="N1298" s="273"/>
      <c r="O1298" s="273"/>
    </row>
    <row r="1299" spans="1:15" ht="14.25">
      <c r="A1299" s="571" t="s">
        <v>899</v>
      </c>
      <c r="B1299" s="114" t="s">
        <v>69</v>
      </c>
      <c r="C1299" s="909">
        <f>CEILING((C1297*0.85),0.1)</f>
        <v>63.800000000000004</v>
      </c>
      <c r="D1299" s="744"/>
      <c r="E1299" s="909">
        <f>CEILING((E1297*0.85),0.1)</f>
        <v>69.2</v>
      </c>
      <c r="F1299" s="8"/>
      <c r="G1299" s="909">
        <f>CEILING((G1297*0.85),0.1)</f>
        <v>63.800000000000004</v>
      </c>
      <c r="H1299" s="8"/>
      <c r="I1299" s="6"/>
      <c r="J1299" s="286"/>
      <c r="K1299" s="286"/>
      <c r="L1299" s="286"/>
      <c r="M1299" s="273"/>
      <c r="N1299" s="273"/>
      <c r="O1299" s="273"/>
    </row>
    <row r="1300" spans="1:15" ht="17.25" customHeight="1" thickBot="1">
      <c r="A1300" s="63" t="s">
        <v>472</v>
      </c>
      <c r="B1300" s="310" t="s">
        <v>97</v>
      </c>
      <c r="C1300" s="911">
        <f>CEILING((C1297*0.5),0.1)</f>
        <v>37.5</v>
      </c>
      <c r="D1300" s="745"/>
      <c r="E1300" s="911">
        <f>CEILING((E1297*0.5),0.1)</f>
        <v>40.7</v>
      </c>
      <c r="F1300" s="77"/>
      <c r="G1300" s="911">
        <f>CEILING((G1297*0.5),0.1)</f>
        <v>37.5</v>
      </c>
      <c r="H1300" s="77"/>
      <c r="I1300" s="17"/>
      <c r="J1300" s="286"/>
      <c r="K1300" s="286"/>
      <c r="L1300" s="286"/>
      <c r="M1300" s="273"/>
      <c r="N1300" s="273"/>
      <c r="O1300" s="273"/>
    </row>
    <row r="1301" spans="1:15" ht="14.25" customHeight="1" thickTop="1">
      <c r="A1301" s="849" t="s">
        <v>800</v>
      </c>
      <c r="B1301" s="451"/>
      <c r="C1301" s="845"/>
      <c r="D1301" s="845"/>
      <c r="E1301" s="845"/>
      <c r="F1301" s="45"/>
      <c r="G1301" s="845"/>
      <c r="H1301" s="45"/>
      <c r="I1301" s="17"/>
      <c r="J1301" s="286"/>
      <c r="K1301" s="286"/>
      <c r="L1301" s="286"/>
      <c r="M1301" s="273"/>
      <c r="N1301" s="273"/>
      <c r="O1301" s="273"/>
    </row>
    <row r="1302" spans="1:15" ht="18.75" customHeight="1" thickBot="1">
      <c r="A1302" s="66"/>
      <c r="B1302" s="517"/>
      <c r="C1302" s="68"/>
      <c r="D1302" s="68"/>
      <c r="E1302" s="45"/>
      <c r="F1302" s="45"/>
      <c r="G1302" s="45"/>
      <c r="H1302" s="45"/>
      <c r="I1302" s="17"/>
      <c r="J1302" s="286"/>
      <c r="K1302" s="286"/>
      <c r="L1302" s="286"/>
      <c r="M1302" s="273"/>
      <c r="N1302" s="273"/>
      <c r="O1302" s="273"/>
    </row>
    <row r="1303" spans="1:15" ht="15.75" thickTop="1">
      <c r="A1303" s="1078" t="s">
        <v>4</v>
      </c>
      <c r="B1303" s="124"/>
      <c r="C1303" s="1030" t="s">
        <v>625</v>
      </c>
      <c r="D1303" s="1048"/>
      <c r="E1303" s="1065"/>
      <c r="F1303" s="1066"/>
      <c r="G1303" s="976"/>
      <c r="H1303" s="976"/>
      <c r="I1303" s="17"/>
      <c r="J1303" s="273"/>
      <c r="K1303" s="273"/>
      <c r="L1303" s="273"/>
      <c r="M1303" s="273"/>
      <c r="N1303" s="273"/>
      <c r="O1303" s="273"/>
    </row>
    <row r="1304" spans="1:15" ht="15">
      <c r="A1304" s="1079"/>
      <c r="B1304" s="125"/>
      <c r="C1304" s="82" t="s">
        <v>70</v>
      </c>
      <c r="D1304" s="83"/>
      <c r="E1304" s="487"/>
      <c r="F1304" s="486"/>
      <c r="G1304" s="486"/>
      <c r="H1304" s="486"/>
      <c r="I1304" s="7"/>
      <c r="J1304" s="273"/>
      <c r="K1304" s="273"/>
      <c r="L1304" s="273"/>
      <c r="M1304" s="273"/>
      <c r="N1304" s="273"/>
      <c r="O1304" s="273"/>
    </row>
    <row r="1305" spans="1:15" ht="15">
      <c r="A1305" s="245" t="s">
        <v>184</v>
      </c>
      <c r="B1305" s="191" t="s">
        <v>11</v>
      </c>
      <c r="C1305" s="900">
        <f>CEILING(55*$Z$1,0.1)</f>
        <v>68.8</v>
      </c>
      <c r="D1305" s="737"/>
      <c r="E1305" s="703"/>
      <c r="F1305" s="704"/>
      <c r="G1305" s="607"/>
      <c r="H1305" s="607"/>
      <c r="I1305" s="7"/>
      <c r="J1305" s="273"/>
      <c r="K1305" s="273"/>
      <c r="L1305" s="273"/>
      <c r="M1305" s="273"/>
      <c r="N1305" s="273"/>
      <c r="O1305" s="273"/>
    </row>
    <row r="1306" spans="1:15" ht="15">
      <c r="A1306" s="246" t="s">
        <v>18</v>
      </c>
      <c r="B1306" s="22" t="s">
        <v>7</v>
      </c>
      <c r="C1306" s="744">
        <f>CEILING((C1305+20*$Z$1),0.1)</f>
        <v>93.80000000000001</v>
      </c>
      <c r="D1306" s="730"/>
      <c r="E1306" s="703"/>
      <c r="F1306" s="704"/>
      <c r="G1306" s="607"/>
      <c r="H1306" s="607"/>
      <c r="I1306" s="7"/>
      <c r="J1306" s="273"/>
      <c r="K1306" s="273"/>
      <c r="L1306" s="273"/>
      <c r="M1306" s="273"/>
      <c r="N1306" s="273"/>
      <c r="O1306" s="273"/>
    </row>
    <row r="1307" spans="1:15" ht="17.25" customHeight="1">
      <c r="A1307" s="259"/>
      <c r="B1307" s="114" t="s">
        <v>69</v>
      </c>
      <c r="C1307" s="744">
        <f>CEILING((C1305*0.85),0.1)</f>
        <v>58.5</v>
      </c>
      <c r="D1307" s="730"/>
      <c r="E1307" s="703"/>
      <c r="F1307" s="704"/>
      <c r="G1307" s="607"/>
      <c r="H1307" s="607"/>
      <c r="I1307" s="7"/>
      <c r="J1307" s="273"/>
      <c r="K1307" s="273"/>
      <c r="L1307" s="273"/>
      <c r="M1307" s="273"/>
      <c r="N1307" s="273"/>
      <c r="O1307" s="273"/>
    </row>
    <row r="1308" spans="1:15" ht="17.25" customHeight="1" thickBot="1">
      <c r="A1308" s="235" t="s">
        <v>869</v>
      </c>
      <c r="B1308" s="310" t="s">
        <v>97</v>
      </c>
      <c r="C1308" s="745">
        <f>CEILING((C1305*0.5),0.1)</f>
        <v>34.4</v>
      </c>
      <c r="D1308" s="731"/>
      <c r="E1308" s="703"/>
      <c r="F1308" s="704"/>
      <c r="G1308" s="607"/>
      <c r="H1308" s="607"/>
      <c r="I1308" s="7"/>
      <c r="J1308" s="273"/>
      <c r="K1308" s="273"/>
      <c r="L1308" s="273"/>
      <c r="M1308" s="273"/>
      <c r="N1308" s="273"/>
      <c r="O1308" s="273"/>
    </row>
    <row r="1309" spans="1:15" ht="15" thickTop="1">
      <c r="A1309" s="901" t="s">
        <v>858</v>
      </c>
      <c r="B1309" s="212"/>
      <c r="C1309" s="45"/>
      <c r="D1309" s="45"/>
      <c r="E1309" s="45"/>
      <c r="F1309" s="45"/>
      <c r="G1309" s="45"/>
      <c r="H1309" s="45"/>
      <c r="I1309" s="7"/>
      <c r="J1309" s="273"/>
      <c r="K1309" s="273"/>
      <c r="L1309" s="273"/>
      <c r="M1309" s="273"/>
      <c r="N1309" s="273"/>
      <c r="O1309" s="273"/>
    </row>
    <row r="1310" spans="1:15" ht="20.25" customHeight="1" thickBot="1">
      <c r="A1310" s="10"/>
      <c r="B1310" s="10"/>
      <c r="C1310" s="71"/>
      <c r="D1310" s="71"/>
      <c r="E1310" s="7"/>
      <c r="F1310" s="7"/>
      <c r="G1310" s="7"/>
      <c r="H1310" s="7"/>
      <c r="I1310" s="1"/>
      <c r="J1310" s="273"/>
      <c r="K1310" s="273"/>
      <c r="L1310" s="273"/>
      <c r="M1310" s="273"/>
      <c r="N1310" s="273"/>
      <c r="O1310" s="273"/>
    </row>
    <row r="1311" spans="1:15" ht="15.75" thickTop="1">
      <c r="A1311" s="1102" t="s">
        <v>4</v>
      </c>
      <c r="B1311" s="126"/>
      <c r="C1311" s="1026" t="s">
        <v>625</v>
      </c>
      <c r="D1311" s="1034"/>
      <c r="E1311" s="1028"/>
      <c r="F1311" s="1029"/>
      <c r="G1311" s="1029"/>
      <c r="H1311" s="1029"/>
      <c r="I1311" s="685"/>
      <c r="J1311" s="273"/>
      <c r="K1311" s="273"/>
      <c r="L1311" s="273"/>
      <c r="M1311" s="273"/>
      <c r="N1311" s="273"/>
      <c r="O1311" s="273"/>
    </row>
    <row r="1312" spans="1:15" ht="15.75" customHeight="1">
      <c r="A1312" s="1103"/>
      <c r="B1312" s="127"/>
      <c r="C1312" s="82" t="s">
        <v>70</v>
      </c>
      <c r="D1312" s="83"/>
      <c r="E1312" s="487"/>
      <c r="F1312" s="486"/>
      <c r="G1312" s="486"/>
      <c r="H1312" s="486"/>
      <c r="I1312" s="685"/>
      <c r="J1312" s="273"/>
      <c r="K1312" s="273"/>
      <c r="L1312" s="273"/>
      <c r="M1312" s="273"/>
      <c r="N1312" s="273"/>
      <c r="O1312" s="273"/>
    </row>
    <row r="1313" spans="1:15" ht="15">
      <c r="A1313" s="13" t="s">
        <v>367</v>
      </c>
      <c r="B1313" s="521" t="s">
        <v>53</v>
      </c>
      <c r="C1313" s="919">
        <f>CEILING(59*$Z$2,0.1)</f>
        <v>73.8</v>
      </c>
      <c r="D1313" s="737"/>
      <c r="E1313" s="658"/>
      <c r="F1313" s="659"/>
      <c r="G1313" s="659"/>
      <c r="H1313" s="659"/>
      <c r="I1313" s="7"/>
      <c r="J1313" s="273"/>
      <c r="K1313" s="273"/>
      <c r="L1313" s="273"/>
      <c r="M1313" s="273"/>
      <c r="N1313" s="273"/>
      <c r="O1313" s="273"/>
    </row>
    <row r="1314" spans="1:15" ht="14.25" customHeight="1">
      <c r="A1314" s="15" t="s">
        <v>18</v>
      </c>
      <c r="B1314" s="521" t="s">
        <v>107</v>
      </c>
      <c r="C1314" s="920">
        <f>CEILING((C1313+25*$Z$2),0.1)</f>
        <v>105.10000000000001</v>
      </c>
      <c r="D1314" s="730"/>
      <c r="E1314" s="658"/>
      <c r="F1314" s="659"/>
      <c r="G1314" s="659"/>
      <c r="H1314" s="659"/>
      <c r="I1314" s="7"/>
      <c r="J1314" s="273"/>
      <c r="K1314" s="273"/>
      <c r="L1314" s="273"/>
      <c r="M1314" s="273"/>
      <c r="N1314" s="273"/>
      <c r="O1314" s="273"/>
    </row>
    <row r="1315" spans="1:15" ht="14.25">
      <c r="A1315" s="571"/>
      <c r="B1315" s="521" t="s">
        <v>139</v>
      </c>
      <c r="C1315" s="920">
        <f>CEILING(50*$Z$2,0.1)</f>
        <v>62.5</v>
      </c>
      <c r="D1315" s="730"/>
      <c r="E1315" s="658"/>
      <c r="F1315" s="659"/>
      <c r="G1315" s="659"/>
      <c r="H1315" s="659"/>
      <c r="I1315" s="7"/>
      <c r="J1315" s="273"/>
      <c r="K1315" s="273"/>
      <c r="L1315" s="273"/>
      <c r="M1315" s="273"/>
      <c r="N1315" s="273"/>
      <c r="O1315" s="273"/>
    </row>
    <row r="1316" spans="1:15" ht="14.25">
      <c r="A1316" s="515" t="s">
        <v>911</v>
      </c>
      <c r="B1316" s="521" t="s">
        <v>97</v>
      </c>
      <c r="C1316" s="920">
        <v>0</v>
      </c>
      <c r="D1316" s="730"/>
      <c r="E1316" s="658"/>
      <c r="F1316" s="659"/>
      <c r="G1316" s="659"/>
      <c r="H1316" s="659"/>
      <c r="I1316" s="7"/>
      <c r="J1316" s="273"/>
      <c r="K1316" s="273"/>
      <c r="L1316" s="273"/>
      <c r="M1316" s="273"/>
      <c r="N1316" s="273"/>
      <c r="O1316" s="273"/>
    </row>
    <row r="1317" spans="1:15" ht="15">
      <c r="A1317" s="364"/>
      <c r="B1317" s="521" t="s">
        <v>270</v>
      </c>
      <c r="C1317" s="763">
        <f>CEILING(80*$Z$2,0.1)</f>
        <v>100</v>
      </c>
      <c r="D1317" s="8"/>
      <c r="E1317" s="658"/>
      <c r="F1317" s="659"/>
      <c r="G1317" s="659"/>
      <c r="H1317" s="659"/>
      <c r="I1317" s="7"/>
      <c r="J1317" s="273"/>
      <c r="K1317" s="273"/>
      <c r="L1317" s="273"/>
      <c r="M1317" s="273"/>
      <c r="N1317" s="273"/>
      <c r="O1317" s="273"/>
    </row>
    <row r="1318" spans="1:15" ht="15" thickBot="1">
      <c r="A1318" s="64" t="s">
        <v>269</v>
      </c>
      <c r="B1318" s="556" t="s">
        <v>271</v>
      </c>
      <c r="C1318" s="776">
        <f>CEILING(120*$Z$2,0.1)</f>
        <v>150</v>
      </c>
      <c r="D1318" s="419"/>
      <c r="E1318" s="658"/>
      <c r="F1318" s="659"/>
      <c r="G1318" s="659"/>
      <c r="H1318" s="659"/>
      <c r="I1318" s="7"/>
      <c r="J1318" s="273"/>
      <c r="K1318" s="273"/>
      <c r="L1318" s="273"/>
      <c r="M1318" s="273"/>
      <c r="N1318" s="273"/>
      <c r="O1318" s="273"/>
    </row>
    <row r="1319" spans="1:15" ht="15" thickTop="1">
      <c r="A1319" s="630" t="s">
        <v>745</v>
      </c>
      <c r="B1319" s="212"/>
      <c r="C1319" s="45"/>
      <c r="D1319" s="45"/>
      <c r="E1319" s="45"/>
      <c r="F1319" s="45"/>
      <c r="G1319" s="45"/>
      <c r="H1319" s="45"/>
      <c r="I1319" s="116"/>
      <c r="J1319" s="273"/>
      <c r="K1319" s="273"/>
      <c r="L1319" s="273"/>
      <c r="M1319" s="273"/>
      <c r="N1319" s="273"/>
      <c r="O1319" s="273"/>
    </row>
    <row r="1320" spans="1:15" ht="14.25">
      <c r="A1320" s="630" t="s">
        <v>746</v>
      </c>
      <c r="B1320" s="212"/>
      <c r="C1320" s="45"/>
      <c r="D1320" s="45"/>
      <c r="E1320" s="45"/>
      <c r="F1320" s="45"/>
      <c r="G1320" s="45"/>
      <c r="H1320" s="45"/>
      <c r="I1320" s="116"/>
      <c r="J1320" s="273"/>
      <c r="K1320" s="273"/>
      <c r="L1320" s="273"/>
      <c r="M1320" s="273"/>
      <c r="N1320" s="273"/>
      <c r="O1320" s="273"/>
    </row>
    <row r="1321" spans="1:15" ht="14.25" customHeight="1" thickBot="1">
      <c r="A1321" s="66"/>
      <c r="B1321" s="295"/>
      <c r="C1321" s="68"/>
      <c r="D1321" s="68"/>
      <c r="E1321" s="45"/>
      <c r="F1321" s="45"/>
      <c r="G1321" s="45"/>
      <c r="H1321" s="45"/>
      <c r="I1321" s="116"/>
      <c r="J1321" s="273"/>
      <c r="K1321" s="273"/>
      <c r="L1321" s="273"/>
      <c r="M1321" s="273"/>
      <c r="N1321" s="273"/>
      <c r="O1321" s="273"/>
    </row>
    <row r="1322" spans="1:15" ht="15.75" thickTop="1">
      <c r="A1322" s="1189" t="s">
        <v>4</v>
      </c>
      <c r="B1322" s="126"/>
      <c r="C1322" s="1026" t="s">
        <v>625</v>
      </c>
      <c r="D1322" s="1034"/>
      <c r="E1322" s="1028"/>
      <c r="F1322" s="1029"/>
      <c r="G1322" s="1029"/>
      <c r="H1322" s="1029"/>
      <c r="I1322" s="116"/>
      <c r="J1322" s="273"/>
      <c r="K1322" s="273"/>
      <c r="L1322" s="273"/>
      <c r="M1322" s="273"/>
      <c r="N1322" s="273"/>
      <c r="O1322" s="273"/>
    </row>
    <row r="1323" spans="1:15" ht="17.25" customHeight="1">
      <c r="A1323" s="1103"/>
      <c r="B1323" s="127"/>
      <c r="C1323" s="82" t="s">
        <v>70</v>
      </c>
      <c r="D1323" s="83"/>
      <c r="E1323" s="487"/>
      <c r="F1323" s="486"/>
      <c r="G1323" s="486"/>
      <c r="H1323" s="486"/>
      <c r="I1323" s="116"/>
      <c r="J1323" s="273"/>
      <c r="K1323" s="273"/>
      <c r="L1323" s="273"/>
      <c r="M1323" s="273"/>
      <c r="N1323" s="273"/>
      <c r="O1323" s="273"/>
    </row>
    <row r="1324" spans="1:15" ht="15">
      <c r="A1324" s="182" t="s">
        <v>366</v>
      </c>
      <c r="B1324" s="435" t="s">
        <v>11</v>
      </c>
      <c r="C1324" s="919">
        <f>CEILING(45*$Z$2,0.1)</f>
        <v>56.300000000000004</v>
      </c>
      <c r="D1324" s="737"/>
      <c r="E1324" s="658"/>
      <c r="F1324" s="659"/>
      <c r="G1324" s="659"/>
      <c r="H1324" s="659"/>
      <c r="I1324" s="116"/>
      <c r="J1324" s="273"/>
      <c r="K1324" s="273"/>
      <c r="L1324" s="273"/>
      <c r="M1324" s="273"/>
      <c r="N1324" s="273"/>
      <c r="O1324" s="273"/>
    </row>
    <row r="1325" spans="1:15" ht="15">
      <c r="A1325" s="184" t="s">
        <v>24</v>
      </c>
      <c r="B1325" s="435" t="s">
        <v>7</v>
      </c>
      <c r="C1325" s="920">
        <f>CEILING((C1324+20*$Z$2),0.1)</f>
        <v>81.30000000000001</v>
      </c>
      <c r="D1325" s="772"/>
      <c r="E1325" s="658"/>
      <c r="F1325" s="659"/>
      <c r="G1325" s="659"/>
      <c r="H1325" s="659"/>
      <c r="I1325" s="116"/>
      <c r="J1325" s="273"/>
      <c r="K1325" s="273"/>
      <c r="L1325" s="273"/>
      <c r="M1325" s="273"/>
      <c r="N1325" s="273"/>
      <c r="O1325" s="273"/>
    </row>
    <row r="1326" spans="1:15" ht="14.25">
      <c r="A1326" s="571"/>
      <c r="B1326" s="231" t="s">
        <v>9</v>
      </c>
      <c r="C1326" s="920">
        <f>CEILING(38*$Z$2,0.1)</f>
        <v>47.5</v>
      </c>
      <c r="D1326" s="772"/>
      <c r="E1326" s="658"/>
      <c r="F1326" s="659"/>
      <c r="G1326" s="659"/>
      <c r="H1326" s="659"/>
      <c r="I1326" s="116"/>
      <c r="J1326" s="273"/>
      <c r="K1326" s="273"/>
      <c r="L1326" s="273"/>
      <c r="M1326" s="273"/>
      <c r="N1326" s="273"/>
      <c r="O1326" s="273"/>
    </row>
    <row r="1327" spans="1:15" ht="14.25">
      <c r="A1327" s="515" t="s">
        <v>911</v>
      </c>
      <c r="B1327" s="435" t="s">
        <v>97</v>
      </c>
      <c r="C1327" s="920">
        <v>0</v>
      </c>
      <c r="D1327" s="772"/>
      <c r="E1327" s="658"/>
      <c r="F1327" s="659"/>
      <c r="G1327" s="659"/>
      <c r="H1327" s="659"/>
      <c r="I1327" s="116"/>
      <c r="J1327" s="273"/>
      <c r="K1327" s="273"/>
      <c r="L1327" s="273"/>
      <c r="M1327" s="273"/>
      <c r="N1327" s="273"/>
      <c r="O1327" s="273"/>
    </row>
    <row r="1328" spans="1:15" ht="15">
      <c r="A1328" s="184"/>
      <c r="B1328" s="554" t="s">
        <v>912</v>
      </c>
      <c r="C1328" s="920">
        <f>CEILING(55*$Z$2,0.1)</f>
        <v>68.8</v>
      </c>
      <c r="D1328" s="8"/>
      <c r="E1328" s="658"/>
      <c r="F1328" s="659"/>
      <c r="G1328" s="659"/>
      <c r="H1328" s="659"/>
      <c r="I1328" s="116"/>
      <c r="J1328" s="273"/>
      <c r="K1328" s="273"/>
      <c r="L1328" s="273"/>
      <c r="M1328" s="273"/>
      <c r="N1328" s="273"/>
      <c r="O1328" s="273"/>
    </row>
    <row r="1329" spans="1:15" ht="15" thickBot="1">
      <c r="A1329" s="64" t="s">
        <v>218</v>
      </c>
      <c r="B1329" s="925" t="s">
        <v>913</v>
      </c>
      <c r="C1329" s="921">
        <f>CEILING(75*$Z$2,0.1)</f>
        <v>93.80000000000001</v>
      </c>
      <c r="D1329" s="419"/>
      <c r="E1329" s="658"/>
      <c r="F1329" s="659"/>
      <c r="G1329" s="659"/>
      <c r="H1329" s="659"/>
      <c r="I1329" s="116"/>
      <c r="J1329" s="273"/>
      <c r="K1329" s="273"/>
      <c r="L1329" s="273"/>
      <c r="M1329" s="273"/>
      <c r="N1329" s="273"/>
      <c r="O1329" s="273"/>
    </row>
    <row r="1330" spans="1:15" ht="15" thickTop="1">
      <c r="A1330" s="630" t="s">
        <v>531</v>
      </c>
      <c r="B1330" s="212"/>
      <c r="C1330" s="45"/>
      <c r="D1330" s="45"/>
      <c r="E1330" s="45"/>
      <c r="F1330" s="45"/>
      <c r="G1330" s="45"/>
      <c r="H1330" s="45"/>
      <c r="I1330" s="116"/>
      <c r="J1330" s="273"/>
      <c r="K1330" s="273"/>
      <c r="L1330" s="273"/>
      <c r="M1330" s="273"/>
      <c r="N1330" s="273"/>
      <c r="O1330" s="273"/>
    </row>
    <row r="1331" spans="1:15" ht="18" customHeight="1" thickBot="1">
      <c r="A1331" s="66"/>
      <c r="B1331" s="295"/>
      <c r="C1331" s="68"/>
      <c r="D1331" s="68"/>
      <c r="E1331" s="68"/>
      <c r="F1331" s="68"/>
      <c r="G1331" s="68"/>
      <c r="H1331" s="68"/>
      <c r="I1331" s="116"/>
      <c r="J1331" s="273"/>
      <c r="K1331" s="273"/>
      <c r="L1331" s="273"/>
      <c r="M1331" s="273"/>
      <c r="N1331" s="273"/>
      <c r="O1331" s="273"/>
    </row>
    <row r="1332" spans="1:15" ht="15.75" thickTop="1">
      <c r="A1332" s="1032" t="s">
        <v>4</v>
      </c>
      <c r="B1332" s="129"/>
      <c r="C1332" s="1026" t="s">
        <v>592</v>
      </c>
      <c r="D1332" s="1034"/>
      <c r="E1332" s="1026" t="s">
        <v>593</v>
      </c>
      <c r="F1332" s="1034"/>
      <c r="G1332" s="1026" t="s">
        <v>594</v>
      </c>
      <c r="H1332" s="1034"/>
      <c r="I1332" s="128"/>
      <c r="J1332" s="273"/>
      <c r="K1332" s="273"/>
      <c r="L1332" s="273"/>
      <c r="M1332" s="273"/>
      <c r="N1332" s="273"/>
      <c r="O1332" s="273"/>
    </row>
    <row r="1333" spans="1:15" ht="15.75" customHeight="1">
      <c r="A1333" s="1033"/>
      <c r="B1333" s="130"/>
      <c r="C1333" s="82" t="s">
        <v>70</v>
      </c>
      <c r="D1333" s="82"/>
      <c r="E1333" s="82" t="s">
        <v>70</v>
      </c>
      <c r="F1333" s="82"/>
      <c r="G1333" s="82" t="s">
        <v>70</v>
      </c>
      <c r="H1333" s="83"/>
      <c r="I1333" s="6"/>
      <c r="J1333" s="273"/>
      <c r="K1333" s="273"/>
      <c r="L1333" s="273"/>
      <c r="M1333" s="273"/>
      <c r="N1333" s="273"/>
      <c r="O1333" s="273"/>
    </row>
    <row r="1334" spans="1:15" ht="15">
      <c r="A1334" s="826" t="s">
        <v>39</v>
      </c>
      <c r="B1334" s="287" t="s">
        <v>11</v>
      </c>
      <c r="C1334" s="804">
        <f>CEILING(52*$Z$2,0.1)</f>
        <v>65</v>
      </c>
      <c r="D1334" s="621"/>
      <c r="E1334" s="804">
        <f>CEILING(54*$Z$2,0.1)</f>
        <v>67.5</v>
      </c>
      <c r="F1334" s="621"/>
      <c r="G1334" s="804">
        <f>CEILING(52*$Z$2,0.1)</f>
        <v>65</v>
      </c>
      <c r="H1334" s="621"/>
      <c r="I1334" s="6"/>
      <c r="J1334" s="273"/>
      <c r="K1334" s="273"/>
      <c r="L1334" s="273"/>
      <c r="M1334" s="273"/>
      <c r="N1334" s="273"/>
      <c r="O1334" s="273"/>
    </row>
    <row r="1335" spans="1:15" ht="15">
      <c r="A1335" s="230" t="s">
        <v>18</v>
      </c>
      <c r="B1335" s="161" t="s">
        <v>7</v>
      </c>
      <c r="C1335" s="763">
        <f>CEILING(62*$Z$2,0.1)</f>
        <v>77.5</v>
      </c>
      <c r="D1335" s="621"/>
      <c r="E1335" s="763">
        <f>CEILING((E1334+10*$Z$2),0.1)</f>
        <v>80</v>
      </c>
      <c r="F1335" s="621"/>
      <c r="G1335" s="763">
        <f>CEILING(62*$Z$2,0.1)</f>
        <v>77.5</v>
      </c>
      <c r="H1335" s="621"/>
      <c r="I1335" s="6"/>
      <c r="J1335" s="273"/>
      <c r="K1335" s="273"/>
      <c r="L1335" s="273"/>
      <c r="M1335" s="273"/>
      <c r="N1335" s="273"/>
      <c r="O1335" s="273"/>
    </row>
    <row r="1336" spans="1:15" ht="15">
      <c r="A1336" s="230"/>
      <c r="B1336" s="783" t="s">
        <v>69</v>
      </c>
      <c r="C1336" s="763">
        <f>CEILING(42*$Z$2,0.1)</f>
        <v>52.5</v>
      </c>
      <c r="D1336" s="621"/>
      <c r="E1336" s="763">
        <f>CEILING(43*$Z$2,0.1)</f>
        <v>53.800000000000004</v>
      </c>
      <c r="F1336" s="621"/>
      <c r="G1336" s="763">
        <f>CEILING(42*$Z$2,0.1)</f>
        <v>52.5</v>
      </c>
      <c r="H1336" s="621"/>
      <c r="I1336" s="6"/>
      <c r="J1336" s="273"/>
      <c r="K1336" s="273"/>
      <c r="L1336" s="273"/>
      <c r="M1336" s="273"/>
      <c r="N1336" s="273"/>
      <c r="O1336" s="273"/>
    </row>
    <row r="1337" spans="1:15" ht="15">
      <c r="A1337" s="827"/>
      <c r="B1337" s="783" t="s">
        <v>166</v>
      </c>
      <c r="C1337" s="767">
        <v>0</v>
      </c>
      <c r="D1337" s="767"/>
      <c r="E1337" s="767">
        <v>0</v>
      </c>
      <c r="F1337" s="767"/>
      <c r="G1337" s="767">
        <v>0</v>
      </c>
      <c r="H1337" s="767"/>
      <c r="I1337" s="6"/>
      <c r="J1337" s="273"/>
      <c r="K1337" s="273"/>
      <c r="L1337" s="273"/>
      <c r="M1337" s="273"/>
      <c r="N1337" s="273"/>
      <c r="O1337" s="273"/>
    </row>
    <row r="1338" spans="1:15" ht="15" thickBot="1">
      <c r="A1338" s="157" t="s">
        <v>747</v>
      </c>
      <c r="B1338" s="238" t="s">
        <v>167</v>
      </c>
      <c r="C1338" s="776">
        <f>CEILING((C1334*0.5),0.1)</f>
        <v>32.5</v>
      </c>
      <c r="D1338" s="768"/>
      <c r="E1338" s="776">
        <f>CEILING((E1334*0.5),0.1)</f>
        <v>33.800000000000004</v>
      </c>
      <c r="F1338" s="768"/>
      <c r="G1338" s="776">
        <f>CEILING((G1334*0.5),0.1)</f>
        <v>32.5</v>
      </c>
      <c r="H1338" s="717"/>
      <c r="I1338" s="6"/>
      <c r="J1338" s="273"/>
      <c r="K1338" s="273"/>
      <c r="L1338" s="273"/>
      <c r="M1338" s="273"/>
      <c r="N1338" s="273"/>
      <c r="O1338" s="273"/>
    </row>
    <row r="1339" spans="1:15" ht="15.75" thickTop="1">
      <c r="A1339" s="228" t="s">
        <v>748</v>
      </c>
      <c r="B1339" s="161" t="s">
        <v>749</v>
      </c>
      <c r="C1339" s="763">
        <f>CEILING(61*$Z$2,0.1)</f>
        <v>76.3</v>
      </c>
      <c r="D1339" s="767"/>
      <c r="E1339" s="763">
        <f>CEILING(63.5*$Z$2,0.1)</f>
        <v>79.4</v>
      </c>
      <c r="F1339" s="767"/>
      <c r="G1339" s="763">
        <f>CEILING(61*$Z$2,0.1)</f>
        <v>76.3</v>
      </c>
      <c r="H1339" s="767"/>
      <c r="I1339" s="6"/>
      <c r="J1339" s="273"/>
      <c r="K1339" s="273"/>
      <c r="L1339" s="273"/>
      <c r="M1339" s="273"/>
      <c r="N1339" s="273"/>
      <c r="O1339" s="273"/>
    </row>
    <row r="1340" spans="1:15" ht="15" customHeight="1">
      <c r="A1340" s="230" t="s">
        <v>18</v>
      </c>
      <c r="B1340" s="161" t="s">
        <v>750</v>
      </c>
      <c r="C1340" s="763">
        <f>CEILING(71*$Z$2,0.1)</f>
        <v>88.80000000000001</v>
      </c>
      <c r="D1340" s="767"/>
      <c r="E1340" s="763">
        <f>CEILING(74*$Z$2,0.1)</f>
        <v>92.5</v>
      </c>
      <c r="F1340" s="767"/>
      <c r="G1340" s="763">
        <f>CEILING(71*$Z$2,0.1)</f>
        <v>88.80000000000001</v>
      </c>
      <c r="H1340" s="767"/>
      <c r="I1340" s="6"/>
      <c r="J1340" s="273"/>
      <c r="K1340" s="273"/>
      <c r="L1340" s="273"/>
      <c r="M1340" s="273"/>
      <c r="N1340" s="273"/>
      <c r="O1340" s="273"/>
    </row>
    <row r="1341" spans="1:15" ht="15" customHeight="1">
      <c r="A1341" s="827"/>
      <c r="B1341" s="783" t="s">
        <v>166</v>
      </c>
      <c r="C1341" s="767">
        <v>0</v>
      </c>
      <c r="D1341" s="767"/>
      <c r="E1341" s="767">
        <v>0</v>
      </c>
      <c r="F1341" s="767"/>
      <c r="G1341" s="767">
        <v>0</v>
      </c>
      <c r="H1341" s="767"/>
      <c r="I1341" s="6"/>
      <c r="J1341" s="273"/>
      <c r="K1341" s="273"/>
      <c r="L1341" s="273"/>
      <c r="M1341" s="273"/>
      <c r="N1341" s="273"/>
      <c r="O1341" s="273"/>
    </row>
    <row r="1342" spans="1:15" ht="15" customHeight="1">
      <c r="A1342" s="827"/>
      <c r="B1342" s="783" t="s">
        <v>167</v>
      </c>
      <c r="C1342" s="763">
        <f>CEILING((C1339*0.5),0.1)</f>
        <v>38.2</v>
      </c>
      <c r="D1342" s="767"/>
      <c r="E1342" s="763">
        <f>CEILING((E1339*0.5),0.1)</f>
        <v>39.7</v>
      </c>
      <c r="F1342" s="767"/>
      <c r="G1342" s="763">
        <f>CEILING((G1339*0.5),0.1)</f>
        <v>38.2</v>
      </c>
      <c r="H1342" s="767"/>
      <c r="I1342" s="6"/>
      <c r="J1342" s="273"/>
      <c r="K1342" s="273"/>
      <c r="L1342" s="273"/>
      <c r="M1342" s="273"/>
      <c r="N1342" s="273"/>
      <c r="O1342" s="273"/>
    </row>
    <row r="1343" spans="1:15" ht="15" customHeight="1" thickBot="1">
      <c r="A1343" s="157" t="s">
        <v>747</v>
      </c>
      <c r="B1343" s="397" t="s">
        <v>752</v>
      </c>
      <c r="C1343" s="776">
        <f>CEILING(99*$Z$2,0.1)</f>
        <v>123.80000000000001</v>
      </c>
      <c r="D1343" s="768"/>
      <c r="E1343" s="776">
        <f>CEILING(103.5*$Z$2,0.1)</f>
        <v>129.4</v>
      </c>
      <c r="F1343" s="768"/>
      <c r="G1343" s="776">
        <f>CEILING(99*$Z$2,0.1)</f>
        <v>123.80000000000001</v>
      </c>
      <c r="H1343" s="717"/>
      <c r="I1343" s="6"/>
      <c r="J1343" s="273"/>
      <c r="K1343" s="273"/>
      <c r="L1343" s="273"/>
      <c r="M1343" s="273"/>
      <c r="N1343" s="273"/>
      <c r="O1343" s="273"/>
    </row>
    <row r="1344" spans="1:15" ht="15" customHeight="1" thickTop="1">
      <c r="A1344" s="228" t="s">
        <v>502</v>
      </c>
      <c r="B1344" s="161" t="s">
        <v>749</v>
      </c>
      <c r="C1344" s="763">
        <f>CEILING(71*$Z$2,0.1)</f>
        <v>88.80000000000001</v>
      </c>
      <c r="D1344" s="767"/>
      <c r="E1344" s="763">
        <f>CEILING(73.5*$Z$2,0.1)</f>
        <v>91.9</v>
      </c>
      <c r="F1344" s="767"/>
      <c r="G1344" s="763">
        <f>CEILING(71*$Z$2,0.1)</f>
        <v>88.80000000000001</v>
      </c>
      <c r="H1344" s="767"/>
      <c r="I1344" s="6"/>
      <c r="J1344" s="273"/>
      <c r="K1344" s="273"/>
      <c r="L1344" s="273"/>
      <c r="M1344" s="273"/>
      <c r="N1344" s="273"/>
      <c r="O1344" s="273"/>
    </row>
    <row r="1345" spans="1:15" ht="15" customHeight="1">
      <c r="A1345" s="230" t="s">
        <v>18</v>
      </c>
      <c r="B1345" s="161" t="s">
        <v>750</v>
      </c>
      <c r="C1345" s="763">
        <f>CEILING(81*$Z$2,0.1)</f>
        <v>101.30000000000001</v>
      </c>
      <c r="D1345" s="767"/>
      <c r="E1345" s="763">
        <f>CEILING(84*$Z$2,0.1)</f>
        <v>105</v>
      </c>
      <c r="F1345" s="767"/>
      <c r="G1345" s="763">
        <f>CEILING(81*$Z$2,0.1)</f>
        <v>101.30000000000001</v>
      </c>
      <c r="H1345" s="767"/>
      <c r="I1345" s="6"/>
      <c r="J1345" s="273"/>
      <c r="K1345" s="273"/>
      <c r="L1345" s="273"/>
      <c r="M1345" s="273"/>
      <c r="N1345" s="273"/>
      <c r="O1345" s="273"/>
    </row>
    <row r="1346" spans="1:15" ht="15">
      <c r="A1346" s="827"/>
      <c r="B1346" s="783" t="s">
        <v>166</v>
      </c>
      <c r="C1346" s="767">
        <v>0</v>
      </c>
      <c r="D1346" s="610"/>
      <c r="E1346" s="767">
        <v>0</v>
      </c>
      <c r="F1346" s="610"/>
      <c r="G1346" s="767">
        <v>0</v>
      </c>
      <c r="H1346" s="610"/>
      <c r="I1346" s="6"/>
      <c r="J1346" s="273"/>
      <c r="K1346" s="273"/>
      <c r="L1346" s="273"/>
      <c r="M1346" s="286"/>
      <c r="N1346" s="286"/>
      <c r="O1346" s="286"/>
    </row>
    <row r="1347" spans="1:15" ht="15">
      <c r="A1347" s="827"/>
      <c r="B1347" s="783" t="s">
        <v>167</v>
      </c>
      <c r="C1347" s="763">
        <f>CEILING((C1344*0.5),0.1)</f>
        <v>44.400000000000006</v>
      </c>
      <c r="D1347" s="610"/>
      <c r="E1347" s="763">
        <f>CEILING((E1344*0.5),0.1)</f>
        <v>46</v>
      </c>
      <c r="F1347" s="610"/>
      <c r="G1347" s="763">
        <f>CEILING((G1344*0.5),0.1)</f>
        <v>44.400000000000006</v>
      </c>
      <c r="H1347" s="610"/>
      <c r="I1347" s="6"/>
      <c r="J1347" s="273"/>
      <c r="K1347" s="273"/>
      <c r="L1347" s="273"/>
      <c r="M1347" s="286"/>
      <c r="N1347" s="286"/>
      <c r="O1347" s="286"/>
    </row>
    <row r="1348" spans="1:15" ht="15" thickBot="1">
      <c r="A1348" s="64" t="s">
        <v>369</v>
      </c>
      <c r="B1348" s="333" t="s">
        <v>752</v>
      </c>
      <c r="C1348" s="745">
        <f>CEILING(106.5*$Z$2,0.1)</f>
        <v>133.20000000000002</v>
      </c>
      <c r="D1348" s="611"/>
      <c r="E1348" s="745">
        <f>CEILING(111*$Z$2,0.1)</f>
        <v>138.8</v>
      </c>
      <c r="F1348" s="611"/>
      <c r="G1348" s="745">
        <f>CEILING(106.5*$Z$2,0.1)</f>
        <v>133.20000000000002</v>
      </c>
      <c r="H1348" s="611"/>
      <c r="I1348" s="6"/>
      <c r="J1348" s="273"/>
      <c r="K1348" s="273"/>
      <c r="L1348" s="273"/>
      <c r="M1348" s="286"/>
      <c r="N1348" s="286"/>
      <c r="O1348" s="286"/>
    </row>
    <row r="1349" spans="1:15" ht="15" thickTop="1">
      <c r="A1349" s="365" t="s">
        <v>753</v>
      </c>
      <c r="B1349" s="828"/>
      <c r="C1349" s="764"/>
      <c r="D1349" s="770"/>
      <c r="E1349" s="764"/>
      <c r="F1349" s="770"/>
      <c r="G1349" s="764"/>
      <c r="H1349" s="770"/>
      <c r="I1349" s="7"/>
      <c r="J1349" s="273"/>
      <c r="K1349" s="273"/>
      <c r="L1349" s="273"/>
      <c r="M1349" s="286"/>
      <c r="N1349" s="286"/>
      <c r="O1349" s="286"/>
    </row>
    <row r="1350" spans="1:15" ht="15.75" customHeight="1" thickBot="1">
      <c r="A1350" s="10"/>
      <c r="B1350" s="10"/>
      <c r="C1350" s="71"/>
      <c r="D1350" s="71"/>
      <c r="E1350" s="71"/>
      <c r="F1350" s="71"/>
      <c r="G1350" s="10"/>
      <c r="H1350" s="10"/>
      <c r="I1350" s="1"/>
      <c r="J1350" s="273"/>
      <c r="K1350" s="273"/>
      <c r="L1350" s="273"/>
      <c r="M1350" s="286"/>
      <c r="N1350" s="286"/>
      <c r="O1350" s="286"/>
    </row>
    <row r="1351" spans="1:15" ht="17.25" customHeight="1" thickTop="1">
      <c r="A1351" s="1032" t="s">
        <v>4</v>
      </c>
      <c r="B1351" s="129"/>
      <c r="C1351" s="1026" t="s">
        <v>592</v>
      </c>
      <c r="D1351" s="1034"/>
      <c r="E1351" s="1026" t="s">
        <v>593</v>
      </c>
      <c r="F1351" s="1034"/>
      <c r="G1351" s="1026" t="s">
        <v>594</v>
      </c>
      <c r="H1351" s="1034"/>
      <c r="I1351" s="128"/>
      <c r="J1351" s="273"/>
      <c r="K1351" s="273"/>
      <c r="L1351" s="273"/>
      <c r="M1351" s="286"/>
      <c r="N1351" s="286"/>
      <c r="O1351" s="286"/>
    </row>
    <row r="1352" spans="1:15" ht="15">
      <c r="A1352" s="1033"/>
      <c r="B1352" s="130"/>
      <c r="C1352" s="82" t="s">
        <v>70</v>
      </c>
      <c r="D1352" s="82"/>
      <c r="E1352" s="82" t="s">
        <v>70</v>
      </c>
      <c r="F1352" s="82"/>
      <c r="G1352" s="82" t="s">
        <v>70</v>
      </c>
      <c r="H1352" s="83"/>
      <c r="I1352" s="6"/>
      <c r="J1352" s="273"/>
      <c r="K1352" s="273"/>
      <c r="L1352" s="273"/>
      <c r="M1352" s="286"/>
      <c r="N1352" s="286"/>
      <c r="O1352" s="286"/>
    </row>
    <row r="1353" spans="1:15" ht="15">
      <c r="A1353" s="99" t="s">
        <v>71</v>
      </c>
      <c r="B1353" s="627" t="s">
        <v>11</v>
      </c>
      <c r="C1353" s="763">
        <f>CEILING(55*$Z$2,0.1)</f>
        <v>68.8</v>
      </c>
      <c r="D1353" s="621"/>
      <c r="E1353" s="763">
        <f>CEILING(57*$Z$2,0.1)</f>
        <v>71.3</v>
      </c>
      <c r="F1353" s="247"/>
      <c r="G1353" s="763">
        <f>CEILING(55*$Z$2,0.1)</f>
        <v>68.8</v>
      </c>
      <c r="H1353" s="621"/>
      <c r="I1353" s="6"/>
      <c r="J1353" s="273"/>
      <c r="K1353" s="273"/>
      <c r="L1353" s="273"/>
      <c r="M1353" s="286"/>
      <c r="N1353" s="286"/>
      <c r="O1353" s="286"/>
    </row>
    <row r="1354" spans="1:15" ht="15">
      <c r="A1354" s="184" t="s">
        <v>18</v>
      </c>
      <c r="B1354" s="521" t="s">
        <v>7</v>
      </c>
      <c r="C1354" s="763">
        <f>CEILING(67*$Z$2,0.1)</f>
        <v>83.80000000000001</v>
      </c>
      <c r="D1354" s="621"/>
      <c r="E1354" s="763">
        <f>CEILING(69*$Z$2,0.1)</f>
        <v>86.30000000000001</v>
      </c>
      <c r="F1354" s="76"/>
      <c r="G1354" s="763">
        <f>CEILING(67*$Z$2,0.1)</f>
        <v>83.80000000000001</v>
      </c>
      <c r="H1354" s="621"/>
      <c r="I1354" s="6"/>
      <c r="J1354" s="273"/>
      <c r="K1354" s="273"/>
      <c r="L1354" s="273"/>
      <c r="M1354" s="273"/>
      <c r="N1354" s="273"/>
      <c r="O1354" s="273"/>
    </row>
    <row r="1355" spans="1:15" ht="15">
      <c r="A1355" s="184"/>
      <c r="B1355" s="618" t="s">
        <v>166</v>
      </c>
      <c r="C1355" s="767">
        <v>0</v>
      </c>
      <c r="D1355" s="621"/>
      <c r="E1355" s="767">
        <v>0</v>
      </c>
      <c r="F1355" s="76"/>
      <c r="G1355" s="767">
        <v>0</v>
      </c>
      <c r="H1355" s="621"/>
      <c r="I1355" s="6"/>
      <c r="J1355" s="273"/>
      <c r="K1355" s="273"/>
      <c r="L1355" s="273"/>
      <c r="M1355" s="286"/>
      <c r="N1355" s="286"/>
      <c r="O1355" s="286"/>
    </row>
    <row r="1356" spans="1:15" ht="15">
      <c r="A1356" s="184"/>
      <c r="B1356" s="568" t="s">
        <v>167</v>
      </c>
      <c r="C1356" s="763">
        <f>CEILING((C1353*0.5),0.1)</f>
        <v>34.4</v>
      </c>
      <c r="D1356" s="621"/>
      <c r="E1356" s="763">
        <f>CEILING((E1353*0.5),0.1)</f>
        <v>35.7</v>
      </c>
      <c r="F1356" s="76"/>
      <c r="G1356" s="763">
        <f>CEILING((G1353*0.5),0.1)</f>
        <v>34.4</v>
      </c>
      <c r="H1356" s="621"/>
      <c r="I1356" s="6"/>
      <c r="J1356" s="273"/>
      <c r="K1356" s="273"/>
      <c r="L1356" s="273"/>
      <c r="M1356" s="286"/>
      <c r="N1356" s="286"/>
      <c r="O1356" s="286"/>
    </row>
    <row r="1357" spans="1:15" ht="15">
      <c r="A1357" s="184"/>
      <c r="B1357" s="568" t="s">
        <v>13</v>
      </c>
      <c r="C1357" s="763">
        <f>CEILING(57*$Z$2,0.1)</f>
        <v>71.3</v>
      </c>
      <c r="D1357" s="610"/>
      <c r="E1357" s="763">
        <f>CEILING(59*$Z$2,0.1)</f>
        <v>73.8</v>
      </c>
      <c r="F1357" s="76"/>
      <c r="G1357" s="763">
        <f>CEILING(57*$Z$2,0.1)</f>
        <v>71.3</v>
      </c>
      <c r="H1357" s="610"/>
      <c r="I1357" s="6"/>
      <c r="J1357" s="273"/>
      <c r="K1357" s="273"/>
      <c r="L1357" s="273"/>
      <c r="M1357" s="286"/>
      <c r="N1357" s="286"/>
      <c r="O1357" s="286"/>
    </row>
    <row r="1358" spans="1:15" ht="15" thickBot="1">
      <c r="A1358" s="64" t="s">
        <v>754</v>
      </c>
      <c r="B1358" s="574" t="s">
        <v>62</v>
      </c>
      <c r="C1358" s="776">
        <f>CEILING(71*$Z$2,0.1)</f>
        <v>88.80000000000001</v>
      </c>
      <c r="D1358" s="611"/>
      <c r="E1358" s="776">
        <f>CEILING(73*$Z$2,0.1)</f>
        <v>91.30000000000001</v>
      </c>
      <c r="F1358" s="77"/>
      <c r="G1358" s="776">
        <f>CEILING(71*$Z$2,0.1)</f>
        <v>88.80000000000001</v>
      </c>
      <c r="H1358" s="611"/>
      <c r="I1358" s="6"/>
      <c r="J1358" s="273"/>
      <c r="K1358" s="273"/>
      <c r="L1358" s="273"/>
      <c r="M1358" s="286"/>
      <c r="N1358" s="286"/>
      <c r="O1358" s="286"/>
    </row>
    <row r="1359" spans="1:15" ht="15" thickTop="1">
      <c r="A1359" s="65" t="s">
        <v>753</v>
      </c>
      <c r="B1359" s="575"/>
      <c r="C1359" s="770"/>
      <c r="D1359" s="770"/>
      <c r="E1359" s="45"/>
      <c r="F1359" s="45"/>
      <c r="G1359" s="770"/>
      <c r="H1359" s="770"/>
      <c r="I1359" s="7"/>
      <c r="J1359" s="273"/>
      <c r="K1359" s="273"/>
      <c r="L1359" s="273"/>
      <c r="M1359" s="286"/>
      <c r="N1359" s="286"/>
      <c r="O1359" s="286"/>
    </row>
    <row r="1360" spans="1:15" ht="18" customHeight="1" thickBot="1">
      <c r="A1360" s="10"/>
      <c r="B1360" s="10"/>
      <c r="C1360" s="71"/>
      <c r="D1360" s="71"/>
      <c r="E1360" s="70"/>
      <c r="F1360" s="70"/>
      <c r="G1360" s="7"/>
      <c r="H1360" s="7"/>
      <c r="I1360" s="1"/>
      <c r="J1360" s="273"/>
      <c r="K1360" s="273"/>
      <c r="L1360" s="273"/>
      <c r="M1360" s="286"/>
      <c r="N1360" s="286"/>
      <c r="O1360" s="286"/>
    </row>
    <row r="1361" spans="1:15" ht="16.5" customHeight="1" thickTop="1">
      <c r="A1361" s="1078" t="s">
        <v>4</v>
      </c>
      <c r="B1361" s="81"/>
      <c r="C1361" s="1026" t="s">
        <v>700</v>
      </c>
      <c r="D1361" s="1034"/>
      <c r="E1361" s="1028"/>
      <c r="F1361" s="1029"/>
      <c r="G1361" s="1029"/>
      <c r="H1361" s="1029"/>
      <c r="I1361" s="7"/>
      <c r="J1361" s="286"/>
      <c r="K1361" s="286"/>
      <c r="L1361" s="286"/>
      <c r="M1361" s="286"/>
      <c r="N1361" s="286"/>
      <c r="O1361" s="286"/>
    </row>
    <row r="1362" spans="1:15" ht="14.25" customHeight="1">
      <c r="A1362" s="1079"/>
      <c r="B1362" s="81"/>
      <c r="C1362" s="82" t="s">
        <v>70</v>
      </c>
      <c r="D1362" s="83"/>
      <c r="E1362" s="487"/>
      <c r="F1362" s="486"/>
      <c r="G1362" s="486"/>
      <c r="H1362" s="486"/>
      <c r="I1362" s="7"/>
      <c r="J1362" s="286"/>
      <c r="K1362" s="286"/>
      <c r="L1362" s="286"/>
      <c r="M1362" s="286"/>
      <c r="N1362" s="286"/>
      <c r="O1362" s="286"/>
    </row>
    <row r="1363" spans="1:15" ht="17.25" customHeight="1">
      <c r="A1363" s="18" t="s">
        <v>180</v>
      </c>
      <c r="B1363" s="225" t="s">
        <v>11</v>
      </c>
      <c r="C1363" s="775">
        <f>CEILING(34*$Z$2,0.1)</f>
        <v>42.5</v>
      </c>
      <c r="D1363" s="737"/>
      <c r="E1363" s="644"/>
      <c r="F1363" s="645"/>
      <c r="G1363" s="645"/>
      <c r="H1363" s="645"/>
      <c r="I1363" s="7"/>
      <c r="J1363" s="286"/>
      <c r="K1363" s="286"/>
      <c r="L1363" s="286"/>
      <c r="M1363" s="286"/>
      <c r="N1363" s="286"/>
      <c r="O1363" s="286"/>
    </row>
    <row r="1364" spans="1:15" ht="17.25" customHeight="1">
      <c r="A1364" s="21" t="s">
        <v>24</v>
      </c>
      <c r="B1364" s="139" t="s">
        <v>7</v>
      </c>
      <c r="C1364" s="775">
        <f>CEILING(54*$Z$2,0.1)</f>
        <v>67.5</v>
      </c>
      <c r="D1364" s="730"/>
      <c r="E1364" s="644"/>
      <c r="F1364" s="645"/>
      <c r="G1364" s="645"/>
      <c r="H1364" s="645"/>
      <c r="I1364" s="7"/>
      <c r="J1364" s="286"/>
      <c r="K1364" s="286"/>
      <c r="L1364" s="286"/>
      <c r="M1364" s="286"/>
      <c r="N1364" s="286"/>
      <c r="O1364" s="286"/>
    </row>
    <row r="1365" spans="1:15" ht="15.75" customHeight="1">
      <c r="A1365" s="571"/>
      <c r="B1365" s="114" t="s">
        <v>69</v>
      </c>
      <c r="C1365" s="775">
        <f>CEILING((C1363*0.85),0.1)</f>
        <v>36.2</v>
      </c>
      <c r="D1365" s="735"/>
      <c r="E1365" s="644"/>
      <c r="F1365" s="645"/>
      <c r="G1365" s="645"/>
      <c r="H1365" s="645"/>
      <c r="I1365" s="7"/>
      <c r="J1365" s="286"/>
      <c r="K1365" s="286"/>
      <c r="L1365" s="286"/>
      <c r="M1365" s="286"/>
      <c r="N1365" s="286"/>
      <c r="O1365" s="286"/>
    </row>
    <row r="1366" spans="1:15" ht="19.5" customHeight="1" thickBot="1">
      <c r="A1366" s="63" t="s">
        <v>421</v>
      </c>
      <c r="B1366" s="310" t="s">
        <v>97</v>
      </c>
      <c r="C1366" s="766">
        <f>CEILING((C1363*0.5),0.1)</f>
        <v>21.3</v>
      </c>
      <c r="D1366" s="736"/>
      <c r="E1366" s="606"/>
      <c r="F1366" s="607"/>
      <c r="G1366" s="607"/>
      <c r="H1366" s="607"/>
      <c r="I1366" s="17"/>
      <c r="J1366" s="286"/>
      <c r="K1366" s="286"/>
      <c r="L1366" s="286"/>
      <c r="M1366" s="286"/>
      <c r="N1366" s="286"/>
      <c r="O1366" s="286"/>
    </row>
    <row r="1367" spans="1:15" ht="16.5" customHeight="1" thickTop="1">
      <c r="A1367" s="365" t="s">
        <v>701</v>
      </c>
      <c r="B1367" s="451"/>
      <c r="C1367" s="45"/>
      <c r="D1367" s="45"/>
      <c r="E1367" s="607"/>
      <c r="F1367" s="607"/>
      <c r="G1367" s="607"/>
      <c r="H1367" s="607"/>
      <c r="I1367" s="17"/>
      <c r="J1367" s="286"/>
      <c r="K1367" s="286"/>
      <c r="L1367" s="286"/>
      <c r="M1367" s="286"/>
      <c r="N1367" s="286"/>
      <c r="O1367" s="286"/>
    </row>
    <row r="1368" spans="1:15" ht="19.5" customHeight="1" thickBot="1">
      <c r="A1368" s="631"/>
      <c r="B1368" s="631"/>
      <c r="C1368" s="35"/>
      <c r="D1368" s="35"/>
      <c r="E1368" s="17"/>
      <c r="F1368" s="17"/>
      <c r="G1368" s="17"/>
      <c r="H1368" s="17"/>
      <c r="I1368" s="1"/>
      <c r="J1368" s="273"/>
      <c r="K1368" s="273"/>
      <c r="L1368" s="273"/>
      <c r="M1368" s="286"/>
      <c r="N1368" s="286"/>
      <c r="O1368" s="286"/>
    </row>
    <row r="1369" spans="1:15" ht="15.75" thickTop="1">
      <c r="A1369" s="1173" t="s">
        <v>4</v>
      </c>
      <c r="B1369" s="81"/>
      <c r="C1369" s="1026" t="s">
        <v>700</v>
      </c>
      <c r="D1369" s="1027"/>
      <c r="E1369" s="1028"/>
      <c r="F1369" s="1029"/>
      <c r="G1369" s="1029"/>
      <c r="H1369" s="1029"/>
      <c r="I1369" s="7"/>
      <c r="J1369" s="286"/>
      <c r="K1369" s="286"/>
      <c r="L1369" s="286"/>
      <c r="M1369" s="286"/>
      <c r="N1369" s="286"/>
      <c r="O1369" s="286"/>
    </row>
    <row r="1370" spans="1:15" ht="14.25">
      <c r="A1370" s="1079"/>
      <c r="B1370" s="81"/>
      <c r="C1370" s="82" t="s">
        <v>70</v>
      </c>
      <c r="D1370" s="83"/>
      <c r="E1370" s="487"/>
      <c r="F1370" s="486"/>
      <c r="G1370" s="486"/>
      <c r="H1370" s="486"/>
      <c r="I1370" s="1"/>
      <c r="J1370" s="286"/>
      <c r="K1370" s="286"/>
      <c r="L1370" s="286"/>
      <c r="M1370" s="273"/>
      <c r="N1370" s="273"/>
      <c r="O1370" s="273"/>
    </row>
    <row r="1371" spans="1:15" ht="15">
      <c r="A1371" s="18" t="s">
        <v>560</v>
      </c>
      <c r="B1371" s="248" t="s">
        <v>11</v>
      </c>
      <c r="C1371" s="775">
        <f>CEILING(34*$Z$2,0.1)</f>
        <v>42.5</v>
      </c>
      <c r="D1371" s="737"/>
      <c r="E1371" s="606"/>
      <c r="F1371" s="607"/>
      <c r="G1371" s="607"/>
      <c r="H1371" s="607"/>
      <c r="I1371" s="7"/>
      <c r="J1371" s="286"/>
      <c r="K1371" s="286"/>
      <c r="L1371" s="286"/>
      <c r="M1371" s="273"/>
      <c r="N1371" s="273"/>
      <c r="O1371" s="273"/>
    </row>
    <row r="1372" spans="1:15" ht="17.25" customHeight="1">
      <c r="A1372" s="571"/>
      <c r="B1372" s="138" t="s">
        <v>7</v>
      </c>
      <c r="C1372" s="775">
        <f>CEILING(54*$Z$2,0.1)</f>
        <v>67.5</v>
      </c>
      <c r="D1372" s="772"/>
      <c r="E1372" s="606"/>
      <c r="F1372" s="607"/>
      <c r="G1372" s="607"/>
      <c r="H1372" s="607"/>
      <c r="I1372" s="7"/>
      <c r="J1372" s="286"/>
      <c r="K1372" s="286"/>
      <c r="L1372" s="286"/>
      <c r="M1372" s="273"/>
      <c r="N1372" s="273"/>
      <c r="O1372" s="273"/>
    </row>
    <row r="1373" spans="1:15" ht="18" customHeight="1" thickBot="1">
      <c r="A1373" s="64" t="s">
        <v>421</v>
      </c>
      <c r="B1373" s="310" t="s">
        <v>182</v>
      </c>
      <c r="C1373" s="815">
        <f>CEILING((C1363*0.5),0.1)</f>
        <v>21.3</v>
      </c>
      <c r="D1373" s="736"/>
      <c r="E1373" s="606"/>
      <c r="F1373" s="607"/>
      <c r="G1373" s="607"/>
      <c r="H1373" s="607"/>
      <c r="I1373" s="7"/>
      <c r="J1373" s="286"/>
      <c r="K1373" s="286"/>
      <c r="L1373" s="286"/>
      <c r="M1373" s="273"/>
      <c r="N1373" s="273"/>
      <c r="O1373" s="273"/>
    </row>
    <row r="1374" spans="1:15" ht="15" thickTop="1">
      <c r="A1374" s="365" t="s">
        <v>703</v>
      </c>
      <c r="B1374" s="451"/>
      <c r="C1374" s="45"/>
      <c r="D1374" s="45"/>
      <c r="E1374" s="607"/>
      <c r="F1374" s="607"/>
      <c r="G1374" s="607"/>
      <c r="H1374" s="607"/>
      <c r="I1374" s="7"/>
      <c r="J1374" s="286"/>
      <c r="K1374" s="286"/>
      <c r="L1374" s="286"/>
      <c r="M1374" s="273"/>
      <c r="N1374" s="273"/>
      <c r="O1374" s="273"/>
    </row>
    <row r="1375" spans="1:15" ht="15" thickBot="1">
      <c r="A1375" s="365"/>
      <c r="B1375" s="517"/>
      <c r="C1375" s="45"/>
      <c r="D1375" s="45"/>
      <c r="E1375" s="774"/>
      <c r="F1375" s="774"/>
      <c r="G1375" s="774"/>
      <c r="H1375" s="774"/>
      <c r="I1375" s="7"/>
      <c r="J1375" s="286"/>
      <c r="K1375" s="286"/>
      <c r="L1375" s="286"/>
      <c r="M1375" s="273"/>
      <c r="N1375" s="273"/>
      <c r="O1375" s="273"/>
    </row>
    <row r="1376" spans="1:15" ht="15" customHeight="1" thickTop="1">
      <c r="A1376" s="1078" t="s">
        <v>4</v>
      </c>
      <c r="B1376" s="81"/>
      <c r="C1376" s="1026" t="s">
        <v>700</v>
      </c>
      <c r="D1376" s="1027"/>
      <c r="E1376" s="1028"/>
      <c r="F1376" s="1029"/>
      <c r="G1376" s="774"/>
      <c r="H1376" s="774"/>
      <c r="I1376" s="7"/>
      <c r="J1376" s="286"/>
      <c r="K1376" s="286"/>
      <c r="L1376" s="286"/>
      <c r="M1376" s="273"/>
      <c r="N1376" s="273"/>
      <c r="O1376" s="273"/>
    </row>
    <row r="1377" spans="1:15" ht="14.25" customHeight="1">
      <c r="A1377" s="1079"/>
      <c r="B1377" s="81"/>
      <c r="C1377" s="82" t="s">
        <v>70</v>
      </c>
      <c r="D1377" s="83"/>
      <c r="E1377" s="487"/>
      <c r="F1377" s="486"/>
      <c r="G1377" s="774"/>
      <c r="H1377" s="774"/>
      <c r="I1377" s="7"/>
      <c r="J1377" s="286"/>
      <c r="K1377" s="286"/>
      <c r="L1377" s="286"/>
      <c r="M1377" s="273"/>
      <c r="N1377" s="273"/>
      <c r="O1377" s="273"/>
    </row>
    <row r="1378" spans="1:15" ht="15">
      <c r="A1378" s="18" t="s">
        <v>704</v>
      </c>
      <c r="B1378" s="225" t="s">
        <v>11</v>
      </c>
      <c r="C1378" s="775">
        <f>CEILING(20*$Z$2,0.1)</f>
        <v>25</v>
      </c>
      <c r="D1378" s="737"/>
      <c r="E1378" s="772"/>
      <c r="F1378" s="774"/>
      <c r="G1378" s="774"/>
      <c r="H1378" s="774"/>
      <c r="I1378" s="7"/>
      <c r="J1378" s="286"/>
      <c r="K1378" s="286"/>
      <c r="L1378" s="286"/>
      <c r="M1378" s="273"/>
      <c r="N1378" s="273"/>
      <c r="O1378" s="273"/>
    </row>
    <row r="1379" spans="1:15" ht="15">
      <c r="A1379" s="21" t="s">
        <v>24</v>
      </c>
      <c r="B1379" s="139" t="s">
        <v>7</v>
      </c>
      <c r="C1379" s="775">
        <f>CEILING(32*$Z$2,0.1)</f>
        <v>40</v>
      </c>
      <c r="D1379" s="772"/>
      <c r="E1379" s="772"/>
      <c r="F1379" s="774"/>
      <c r="G1379" s="774"/>
      <c r="H1379" s="774"/>
      <c r="I1379" s="7"/>
      <c r="J1379" s="286"/>
      <c r="K1379" s="286"/>
      <c r="L1379" s="286"/>
      <c r="M1379" s="273"/>
      <c r="N1379" s="273"/>
      <c r="O1379" s="273"/>
    </row>
    <row r="1380" spans="1:15" ht="14.25">
      <c r="A1380" s="571"/>
      <c r="B1380" s="114" t="s">
        <v>69</v>
      </c>
      <c r="C1380" s="775">
        <f>CEILING((C1378*0.85),0.1)</f>
        <v>21.3</v>
      </c>
      <c r="D1380" s="735"/>
      <c r="E1380" s="772"/>
      <c r="F1380" s="774"/>
      <c r="G1380" s="774"/>
      <c r="H1380" s="774"/>
      <c r="I1380" s="7"/>
      <c r="J1380" s="286"/>
      <c r="K1380" s="286"/>
      <c r="L1380" s="286"/>
      <c r="M1380" s="273"/>
      <c r="N1380" s="273"/>
      <c r="O1380" s="273"/>
    </row>
    <row r="1381" spans="1:15" ht="15" thickBot="1">
      <c r="A1381" s="63" t="s">
        <v>421</v>
      </c>
      <c r="B1381" s="310" t="s">
        <v>97</v>
      </c>
      <c r="C1381" s="766">
        <f>CEILING((C1378*0.5),0.1)</f>
        <v>12.5</v>
      </c>
      <c r="D1381" s="736"/>
      <c r="E1381" s="772"/>
      <c r="F1381" s="774"/>
      <c r="G1381" s="774"/>
      <c r="H1381" s="774"/>
      <c r="I1381" s="7"/>
      <c r="J1381" s="286"/>
      <c r="K1381" s="286"/>
      <c r="L1381" s="286"/>
      <c r="M1381" s="273"/>
      <c r="N1381" s="273"/>
      <c r="O1381" s="273"/>
    </row>
    <row r="1382" spans="1:15" ht="15" thickTop="1">
      <c r="A1382" s="365" t="s">
        <v>705</v>
      </c>
      <c r="B1382" s="451"/>
      <c r="C1382" s="45"/>
      <c r="D1382" s="45"/>
      <c r="E1382" s="774"/>
      <c r="F1382" s="774"/>
      <c r="G1382" s="774"/>
      <c r="H1382" s="774"/>
      <c r="I1382" s="7"/>
      <c r="J1382" s="286"/>
      <c r="K1382" s="286"/>
      <c r="L1382" s="286"/>
      <c r="M1382" s="273"/>
      <c r="N1382" s="273"/>
      <c r="O1382" s="273"/>
    </row>
    <row r="1383" spans="1:15" ht="21" customHeight="1" thickBot="1">
      <c r="A1383" s="66"/>
      <c r="B1383" s="295"/>
      <c r="C1383" s="285"/>
      <c r="D1383" s="285"/>
      <c r="E1383" s="285"/>
      <c r="F1383" s="285"/>
      <c r="G1383" s="285"/>
      <c r="H1383" s="285"/>
      <c r="I1383" s="7"/>
      <c r="J1383" s="286"/>
      <c r="K1383" s="286"/>
      <c r="L1383" s="286"/>
      <c r="M1383" s="273"/>
      <c r="N1383" s="273"/>
      <c r="O1383" s="273"/>
    </row>
    <row r="1384" spans="1:15" ht="15.75" thickTop="1">
      <c r="A1384" s="1078" t="s">
        <v>4</v>
      </c>
      <c r="B1384" s="81"/>
      <c r="C1384" s="1026" t="s">
        <v>592</v>
      </c>
      <c r="D1384" s="1034"/>
      <c r="E1384" s="1026" t="s">
        <v>593</v>
      </c>
      <c r="F1384" s="1034"/>
      <c r="G1384" s="1026" t="s">
        <v>594</v>
      </c>
      <c r="H1384" s="1034"/>
      <c r="I1384" s="6"/>
      <c r="J1384" s="286"/>
      <c r="K1384" s="286"/>
      <c r="L1384" s="286"/>
      <c r="M1384" s="273"/>
      <c r="N1384" s="273"/>
      <c r="O1384" s="273"/>
    </row>
    <row r="1385" spans="1:15" ht="14.25">
      <c r="A1385" s="1079"/>
      <c r="B1385" s="87"/>
      <c r="C1385" s="82" t="s">
        <v>70</v>
      </c>
      <c r="D1385" s="82"/>
      <c r="E1385" s="82" t="s">
        <v>70</v>
      </c>
      <c r="F1385" s="82"/>
      <c r="G1385" s="82" t="s">
        <v>70</v>
      </c>
      <c r="H1385" s="82"/>
      <c r="I1385" s="7"/>
      <c r="J1385" s="286"/>
      <c r="K1385" s="286"/>
      <c r="L1385" s="286"/>
      <c r="M1385" s="273"/>
      <c r="N1385" s="273"/>
      <c r="O1385" s="273"/>
    </row>
    <row r="1386" spans="1:15" ht="15">
      <c r="A1386" s="18" t="s">
        <v>944</v>
      </c>
      <c r="B1386" s="229" t="s">
        <v>11</v>
      </c>
      <c r="C1386" s="943">
        <f>CEILING(36*$Z$3,0.1)</f>
        <v>45</v>
      </c>
      <c r="D1386" s="734"/>
      <c r="E1386" s="943">
        <f>CEILING(37*$Z$3,0.1)</f>
        <v>46.300000000000004</v>
      </c>
      <c r="F1386" s="734"/>
      <c r="G1386" s="943">
        <f>CEILING(36*$Z$3,0.1)</f>
        <v>45</v>
      </c>
      <c r="H1386" s="247"/>
      <c r="I1386" s="6"/>
      <c r="J1386" s="286"/>
      <c r="K1386" s="286"/>
      <c r="L1386" s="286"/>
      <c r="M1386" s="273"/>
      <c r="N1386" s="273"/>
      <c r="O1386" s="273"/>
    </row>
    <row r="1387" spans="1:15" ht="14.25">
      <c r="A1387" s="782" t="s">
        <v>945</v>
      </c>
      <c r="B1387" s="231" t="s">
        <v>7</v>
      </c>
      <c r="C1387" s="943">
        <f>CEILING(41*$Z$3,0.1)</f>
        <v>51.300000000000004</v>
      </c>
      <c r="D1387" s="735"/>
      <c r="E1387" s="943">
        <f>CEILING(42*$Z$3,0.1)</f>
        <v>52.5</v>
      </c>
      <c r="F1387" s="735"/>
      <c r="G1387" s="943">
        <f>CEILING(41*$Z$3,0.1)</f>
        <v>51.300000000000004</v>
      </c>
      <c r="H1387" s="76"/>
      <c r="I1387" s="6"/>
      <c r="J1387" s="286"/>
      <c r="K1387" s="286"/>
      <c r="L1387" s="286"/>
      <c r="M1387" s="273"/>
      <c r="N1387" s="273"/>
      <c r="O1387" s="273"/>
    </row>
    <row r="1388" spans="1:15" ht="14.25" customHeight="1" thickBot="1">
      <c r="A1388" s="64" t="s">
        <v>550</v>
      </c>
      <c r="B1388" s="397" t="s">
        <v>943</v>
      </c>
      <c r="C1388" s="944">
        <v>0</v>
      </c>
      <c r="D1388" s="736"/>
      <c r="E1388" s="944">
        <v>0</v>
      </c>
      <c r="F1388" s="736"/>
      <c r="G1388" s="944">
        <v>0</v>
      </c>
      <c r="H1388" s="77"/>
      <c r="I1388" s="6"/>
      <c r="J1388" s="286"/>
      <c r="K1388" s="286"/>
      <c r="L1388" s="286"/>
      <c r="M1388" s="273"/>
      <c r="N1388" s="273"/>
      <c r="O1388" s="273"/>
    </row>
    <row r="1389" spans="1:15" ht="23.25" customHeight="1" thickBot="1" thickTop="1">
      <c r="A1389" s="65"/>
      <c r="B1389" s="415"/>
      <c r="C1389" s="45"/>
      <c r="D1389" s="45"/>
      <c r="E1389" s="45"/>
      <c r="F1389" s="45"/>
      <c r="G1389" s="45"/>
      <c r="H1389" s="45"/>
      <c r="I1389" s="7"/>
      <c r="J1389" s="286"/>
      <c r="K1389" s="286"/>
      <c r="L1389" s="286"/>
      <c r="M1389" s="273"/>
      <c r="N1389" s="273"/>
      <c r="O1389" s="273"/>
    </row>
    <row r="1390" spans="1:15" ht="15.75" thickTop="1">
      <c r="A1390" s="1078" t="s">
        <v>4</v>
      </c>
      <c r="B1390" s="81"/>
      <c r="C1390" s="1026" t="s">
        <v>625</v>
      </c>
      <c r="D1390" s="1034"/>
      <c r="E1390" s="1028"/>
      <c r="F1390" s="1029"/>
      <c r="G1390" s="1029"/>
      <c r="H1390" s="1029"/>
      <c r="I1390" s="7"/>
      <c r="J1390" s="286"/>
      <c r="K1390" s="286"/>
      <c r="L1390" s="286"/>
      <c r="M1390" s="273"/>
      <c r="N1390" s="273"/>
      <c r="O1390" s="273"/>
    </row>
    <row r="1391" spans="1:15" ht="14.25">
      <c r="A1391" s="1079"/>
      <c r="B1391" s="87"/>
      <c r="C1391" s="82" t="s">
        <v>70</v>
      </c>
      <c r="D1391" s="83"/>
      <c r="E1391" s="487"/>
      <c r="F1391" s="486"/>
      <c r="G1391" s="486"/>
      <c r="H1391" s="486"/>
      <c r="I1391" s="7"/>
      <c r="J1391" s="286"/>
      <c r="K1391" s="286"/>
      <c r="L1391" s="286"/>
      <c r="M1391" s="273"/>
      <c r="N1391" s="273"/>
      <c r="O1391" s="273"/>
    </row>
    <row r="1392" spans="1:15" ht="15">
      <c r="A1392" s="18" t="s">
        <v>321</v>
      </c>
      <c r="B1392" s="229" t="s">
        <v>11</v>
      </c>
      <c r="C1392" s="940">
        <f>CEILING(22*$Z$1,0.1)</f>
        <v>27.5</v>
      </c>
      <c r="D1392" s="485"/>
      <c r="E1392" s="938"/>
      <c r="F1392" s="941"/>
      <c r="G1392" s="939"/>
      <c r="H1392" s="941"/>
      <c r="I1392" s="7"/>
      <c r="J1392" s="286"/>
      <c r="K1392" s="286"/>
      <c r="L1392" s="286"/>
      <c r="M1392" s="273"/>
      <c r="N1392" s="273"/>
      <c r="O1392" s="273"/>
    </row>
    <row r="1393" spans="1:15" ht="15">
      <c r="A1393" s="21" t="s">
        <v>24</v>
      </c>
      <c r="B1393" s="231" t="s">
        <v>7</v>
      </c>
      <c r="C1393" s="940">
        <f>CEILING((C1392+5*$Z$1),0.1)</f>
        <v>33.800000000000004</v>
      </c>
      <c r="D1393" s="8"/>
      <c r="E1393" s="938"/>
      <c r="F1393" s="941"/>
      <c r="G1393" s="939"/>
      <c r="H1393" s="941"/>
      <c r="I1393" s="7"/>
      <c r="J1393" s="286"/>
      <c r="K1393" s="286"/>
      <c r="L1393" s="286"/>
      <c r="M1393" s="273"/>
      <c r="N1393" s="273"/>
      <c r="O1393" s="273"/>
    </row>
    <row r="1394" spans="1:15" ht="14.25">
      <c r="A1394" s="782" t="s">
        <v>929</v>
      </c>
      <c r="B1394" s="231" t="s">
        <v>312</v>
      </c>
      <c r="C1394" s="940">
        <v>0</v>
      </c>
      <c r="D1394" s="8"/>
      <c r="E1394" s="938"/>
      <c r="F1394" s="941"/>
      <c r="G1394" s="939"/>
      <c r="H1394" s="941"/>
      <c r="I1394" s="7"/>
      <c r="J1394" s="286"/>
      <c r="K1394" s="286"/>
      <c r="L1394" s="286"/>
      <c r="M1394" s="273"/>
      <c r="N1394" s="273"/>
      <c r="O1394" s="273"/>
    </row>
    <row r="1395" spans="1:15" ht="15" thickBot="1">
      <c r="A1395" s="64" t="s">
        <v>213</v>
      </c>
      <c r="B1395" s="400" t="s">
        <v>313</v>
      </c>
      <c r="C1395" s="942">
        <f>CEILING((C1392*0.7),0.1)</f>
        <v>19.3</v>
      </c>
      <c r="D1395" s="419"/>
      <c r="E1395" s="814"/>
      <c r="F1395" s="941"/>
      <c r="G1395" s="817"/>
      <c r="H1395" s="941"/>
      <c r="I1395" s="7"/>
      <c r="J1395" s="286"/>
      <c r="K1395" s="286"/>
      <c r="L1395" s="286"/>
      <c r="M1395" s="273"/>
      <c r="N1395" s="273"/>
      <c r="O1395" s="273"/>
    </row>
    <row r="1396" spans="1:15" ht="22.5" customHeight="1" thickBot="1" thickTop="1">
      <c r="A1396" s="65"/>
      <c r="B1396" s="415"/>
      <c r="C1396" s="45"/>
      <c r="D1396" s="45"/>
      <c r="E1396" s="532"/>
      <c r="F1396" s="532"/>
      <c r="G1396" s="532"/>
      <c r="H1396" s="532"/>
      <c r="I1396" s="7"/>
      <c r="J1396" s="286"/>
      <c r="K1396" s="286"/>
      <c r="L1396" s="286"/>
      <c r="M1396" s="273"/>
      <c r="N1396" s="273"/>
      <c r="O1396" s="273"/>
    </row>
    <row r="1397" spans="1:15" ht="15.75" thickTop="1">
      <c r="A1397" s="1078" t="s">
        <v>4</v>
      </c>
      <c r="B1397" s="81"/>
      <c r="C1397" s="1026" t="s">
        <v>592</v>
      </c>
      <c r="D1397" s="1034"/>
      <c r="E1397" s="1026" t="s">
        <v>593</v>
      </c>
      <c r="F1397" s="1034"/>
      <c r="G1397" s="1026" t="s">
        <v>594</v>
      </c>
      <c r="H1397" s="1034"/>
      <c r="I1397" s="6"/>
      <c r="J1397" s="286"/>
      <c r="K1397" s="286"/>
      <c r="L1397" s="286"/>
      <c r="M1397" s="273"/>
      <c r="N1397" s="273"/>
      <c r="O1397" s="273"/>
    </row>
    <row r="1398" spans="1:15" ht="14.25">
      <c r="A1398" s="1079"/>
      <c r="B1398" s="87"/>
      <c r="C1398" s="82" t="s">
        <v>70</v>
      </c>
      <c r="D1398" s="82"/>
      <c r="E1398" s="82" t="s">
        <v>70</v>
      </c>
      <c r="F1398" s="82"/>
      <c r="G1398" s="82" t="s">
        <v>70</v>
      </c>
      <c r="H1398" s="82"/>
      <c r="I1398" s="7"/>
      <c r="J1398" s="286"/>
      <c r="K1398" s="286"/>
      <c r="L1398" s="286"/>
      <c r="M1398" s="273"/>
      <c r="N1398" s="273"/>
      <c r="O1398" s="273"/>
    </row>
    <row r="1399" spans="1:15" ht="15">
      <c r="A1399" s="18" t="s">
        <v>534</v>
      </c>
      <c r="B1399" s="229" t="s">
        <v>11</v>
      </c>
      <c r="C1399" s="943">
        <f>CEILING(21*$Z$3,0.1)</f>
        <v>26.3</v>
      </c>
      <c r="D1399" s="247"/>
      <c r="E1399" s="943">
        <f>CEILING(22*$Z$3,0.1)</f>
        <v>27.5</v>
      </c>
      <c r="F1399" s="247"/>
      <c r="G1399" s="943">
        <f>CEILING(21*$Z$3,0.1)</f>
        <v>26.3</v>
      </c>
      <c r="H1399" s="247"/>
      <c r="I1399" s="7"/>
      <c r="J1399" s="286"/>
      <c r="K1399" s="286"/>
      <c r="L1399" s="286"/>
      <c r="M1399" s="273"/>
      <c r="N1399" s="273"/>
      <c r="O1399" s="273"/>
    </row>
    <row r="1400" spans="1:15" ht="15">
      <c r="A1400" s="21" t="s">
        <v>24</v>
      </c>
      <c r="B1400" s="231" t="s">
        <v>7</v>
      </c>
      <c r="C1400" s="943">
        <f>CEILING(26*$Z$3,0.1)</f>
        <v>32.5</v>
      </c>
      <c r="D1400" s="76"/>
      <c r="E1400" s="943">
        <f>CEILING(27*$Z$3,0.1)</f>
        <v>33.800000000000004</v>
      </c>
      <c r="F1400" s="76"/>
      <c r="G1400" s="943">
        <f>CEILING(26*$Z$3,0.1)</f>
        <v>32.5</v>
      </c>
      <c r="H1400" s="76"/>
      <c r="I1400" s="7"/>
      <c r="J1400" s="286"/>
      <c r="K1400" s="286"/>
      <c r="L1400" s="286"/>
      <c r="M1400" s="273"/>
      <c r="N1400" s="273"/>
      <c r="O1400" s="273"/>
    </row>
    <row r="1401" spans="1:15" ht="14.25">
      <c r="A1401" s="782" t="s">
        <v>942</v>
      </c>
      <c r="B1401" s="114" t="s">
        <v>69</v>
      </c>
      <c r="C1401" s="943">
        <f>CEILING(18*$Z$3,0.1)</f>
        <v>22.5</v>
      </c>
      <c r="D1401" s="76"/>
      <c r="E1401" s="943">
        <f>CEILING(19*$Z$3,0.1)</f>
        <v>23.8</v>
      </c>
      <c r="F1401" s="76"/>
      <c r="G1401" s="943">
        <f>CEILING(18*$Z$3,0.1)</f>
        <v>22.5</v>
      </c>
      <c r="H1401" s="76"/>
      <c r="I1401" s="7"/>
      <c r="J1401" s="286"/>
      <c r="K1401" s="286"/>
      <c r="L1401" s="286"/>
      <c r="M1401" s="273"/>
      <c r="N1401" s="273"/>
      <c r="O1401" s="273"/>
    </row>
    <row r="1402" spans="1:15" ht="15" thickBot="1">
      <c r="A1402" s="64" t="s">
        <v>550</v>
      </c>
      <c r="B1402" s="397" t="s">
        <v>943</v>
      </c>
      <c r="C1402" s="944">
        <v>0</v>
      </c>
      <c r="D1402" s="77"/>
      <c r="E1402" s="944">
        <v>0</v>
      </c>
      <c r="F1402" s="77"/>
      <c r="G1402" s="944">
        <v>0</v>
      </c>
      <c r="H1402" s="77"/>
      <c r="I1402" s="7"/>
      <c r="J1402" s="286"/>
      <c r="K1402" s="286"/>
      <c r="L1402" s="286"/>
      <c r="M1402" s="273"/>
      <c r="N1402" s="273"/>
      <c r="O1402" s="273"/>
    </row>
    <row r="1403" spans="1:15" ht="22.5" customHeight="1" thickBot="1" thickTop="1">
      <c r="A1403" s="65"/>
      <c r="B1403" s="212"/>
      <c r="C1403" s="45"/>
      <c r="D1403" s="45"/>
      <c r="E1403" s="532"/>
      <c r="F1403" s="532"/>
      <c r="G1403" s="532"/>
      <c r="H1403" s="532"/>
      <c r="I1403" s="7"/>
      <c r="J1403" s="286"/>
      <c r="K1403" s="286"/>
      <c r="L1403" s="286"/>
      <c r="M1403" s="273"/>
      <c r="N1403" s="273"/>
      <c r="O1403" s="273"/>
    </row>
    <row r="1404" spans="1:15" ht="18.75" customHeight="1" thickTop="1">
      <c r="A1404" s="1078" t="s">
        <v>4</v>
      </c>
      <c r="B1404" s="646"/>
      <c r="C1404" s="1026" t="s">
        <v>625</v>
      </c>
      <c r="D1404" s="1034"/>
      <c r="E1404" s="1028"/>
      <c r="F1404" s="1029"/>
      <c r="G1404" s="1029"/>
      <c r="H1404" s="1029"/>
      <c r="I1404" s="7"/>
      <c r="J1404" s="273"/>
      <c r="K1404" s="273"/>
      <c r="L1404" s="273"/>
      <c r="M1404" s="273"/>
      <c r="N1404" s="273"/>
      <c r="O1404" s="273"/>
    </row>
    <row r="1405" spans="1:15" ht="18.75" customHeight="1">
      <c r="A1405" s="1079"/>
      <c r="B1405" s="87"/>
      <c r="C1405" s="82" t="s">
        <v>70</v>
      </c>
      <c r="D1405" s="83"/>
      <c r="E1405" s="487"/>
      <c r="F1405" s="486"/>
      <c r="G1405" s="486"/>
      <c r="H1405" s="486"/>
      <c r="I1405" s="1"/>
      <c r="J1405" s="273"/>
      <c r="K1405" s="273"/>
      <c r="L1405" s="273"/>
      <c r="M1405" s="273"/>
      <c r="N1405" s="273"/>
      <c r="O1405" s="273"/>
    </row>
    <row r="1406" spans="1:15" ht="15.75" customHeight="1">
      <c r="A1406" s="200" t="s">
        <v>535</v>
      </c>
      <c r="B1406" s="229" t="s">
        <v>11</v>
      </c>
      <c r="C1406" s="940">
        <f>CEILING(19*$Z$2,0.1)</f>
        <v>23.8</v>
      </c>
      <c r="D1406" s="485"/>
      <c r="E1406" s="938"/>
      <c r="F1406" s="941"/>
      <c r="G1406" s="939"/>
      <c r="H1406" s="941"/>
      <c r="I1406" s="1"/>
      <c r="J1406" s="273"/>
      <c r="K1406" s="273"/>
      <c r="L1406" s="273"/>
      <c r="M1406" s="273"/>
      <c r="N1406" s="273"/>
      <c r="O1406" s="273"/>
    </row>
    <row r="1407" spans="1:15" ht="15" customHeight="1">
      <c r="A1407" s="21" t="s">
        <v>59</v>
      </c>
      <c r="B1407" s="231" t="s">
        <v>7</v>
      </c>
      <c r="C1407" s="940">
        <f>CEILING((C1406+5*$Z$2),0.1)</f>
        <v>30.1</v>
      </c>
      <c r="D1407" s="8"/>
      <c r="E1407" s="938"/>
      <c r="F1407" s="941"/>
      <c r="G1407" s="939"/>
      <c r="H1407" s="941"/>
      <c r="I1407" s="1"/>
      <c r="J1407" s="273"/>
      <c r="K1407" s="273"/>
      <c r="L1407" s="273"/>
      <c r="M1407" s="273"/>
      <c r="N1407" s="273"/>
      <c r="O1407" s="273"/>
    </row>
    <row r="1408" spans="1:15" ht="14.25" customHeight="1">
      <c r="A1408" s="782" t="s">
        <v>929</v>
      </c>
      <c r="B1408" s="231" t="s">
        <v>312</v>
      </c>
      <c r="C1408" s="940">
        <v>0</v>
      </c>
      <c r="D1408" s="8"/>
      <c r="E1408" s="938"/>
      <c r="F1408" s="941"/>
      <c r="G1408" s="939"/>
      <c r="H1408" s="941"/>
      <c r="I1408" s="1"/>
      <c r="J1408" s="273"/>
      <c r="K1408" s="273"/>
      <c r="L1408" s="273"/>
      <c r="M1408" s="273"/>
      <c r="N1408" s="273"/>
      <c r="O1408" s="273"/>
    </row>
    <row r="1409" spans="1:15" ht="15" customHeight="1" thickBot="1">
      <c r="A1409" s="64" t="s">
        <v>213</v>
      </c>
      <c r="B1409" s="400" t="s">
        <v>313</v>
      </c>
      <c r="C1409" s="942">
        <f>CEILING((C1406*0.7),0.1)</f>
        <v>16.7</v>
      </c>
      <c r="D1409" s="419"/>
      <c r="E1409" s="814"/>
      <c r="F1409" s="941"/>
      <c r="G1409" s="817"/>
      <c r="H1409" s="941"/>
      <c r="I1409" s="1"/>
      <c r="J1409" s="273"/>
      <c r="K1409" s="273"/>
      <c r="L1409" s="273"/>
      <c r="M1409" s="273"/>
      <c r="N1409" s="273"/>
      <c r="O1409" s="273"/>
    </row>
    <row r="1410" spans="1:15" ht="24.75" customHeight="1" thickBot="1" thickTop="1">
      <c r="A1410" s="48"/>
      <c r="B1410" s="48"/>
      <c r="C1410" s="17"/>
      <c r="D1410" s="17"/>
      <c r="E1410" s="533"/>
      <c r="F1410" s="533"/>
      <c r="G1410" s="533"/>
      <c r="H1410" s="533"/>
      <c r="I1410" s="1"/>
      <c r="J1410" s="273"/>
      <c r="K1410" s="273"/>
      <c r="L1410" s="273"/>
      <c r="M1410" s="273"/>
      <c r="N1410" s="273"/>
      <c r="O1410" s="273"/>
    </row>
    <row r="1411" spans="1:15" ht="16.5" customHeight="1" thickTop="1">
      <c r="A1411" s="1078" t="s">
        <v>4</v>
      </c>
      <c r="B1411" s="646"/>
      <c r="C1411" s="1026" t="s">
        <v>592</v>
      </c>
      <c r="D1411" s="1034"/>
      <c r="E1411" s="1026" t="s">
        <v>593</v>
      </c>
      <c r="F1411" s="1034"/>
      <c r="G1411" s="1026" t="s">
        <v>594</v>
      </c>
      <c r="H1411" s="1034"/>
      <c r="I1411" s="6"/>
      <c r="J1411" s="273"/>
      <c r="K1411" s="273"/>
      <c r="L1411" s="273"/>
      <c r="M1411" s="273"/>
      <c r="N1411" s="273"/>
      <c r="O1411" s="273"/>
    </row>
    <row r="1412" spans="1:15" ht="14.25" customHeight="1">
      <c r="A1412" s="1079"/>
      <c r="B1412" s="87"/>
      <c r="C1412" s="82" t="s">
        <v>70</v>
      </c>
      <c r="D1412" s="82"/>
      <c r="E1412" s="82" t="s">
        <v>70</v>
      </c>
      <c r="F1412" s="82"/>
      <c r="G1412" s="82" t="s">
        <v>70</v>
      </c>
      <c r="H1412" s="82"/>
      <c r="I1412" s="1"/>
      <c r="J1412" s="273"/>
      <c r="K1412" s="273"/>
      <c r="L1412" s="273"/>
      <c r="M1412" s="273"/>
      <c r="N1412" s="273"/>
      <c r="O1412" s="273"/>
    </row>
    <row r="1413" spans="1:15" ht="15">
      <c r="A1413" s="18" t="s">
        <v>536</v>
      </c>
      <c r="B1413" s="248" t="s">
        <v>11</v>
      </c>
      <c r="C1413" s="899">
        <f>CEILING(20*$Z$2,0.1)</f>
        <v>25</v>
      </c>
      <c r="D1413" s="247"/>
      <c r="E1413" s="899">
        <f>CEILING(23*$Z$2,0.1)</f>
        <v>28.8</v>
      </c>
      <c r="F1413" s="247"/>
      <c r="G1413" s="899">
        <f>CEILING(20*$Z$2,0.1)</f>
        <v>25</v>
      </c>
      <c r="H1413" s="247"/>
      <c r="I1413" s="7"/>
      <c r="J1413" s="273"/>
      <c r="K1413" s="273"/>
      <c r="L1413" s="273"/>
      <c r="M1413" s="273"/>
      <c r="N1413" s="273"/>
      <c r="O1413" s="273"/>
    </row>
    <row r="1414" spans="1:15" ht="15">
      <c r="A1414" s="21" t="s">
        <v>59</v>
      </c>
      <c r="B1414" s="138" t="s">
        <v>7</v>
      </c>
      <c r="C1414" s="899">
        <f>CEILING(26*$Z$2,0.1)</f>
        <v>32.5</v>
      </c>
      <c r="D1414" s="76"/>
      <c r="E1414" s="899">
        <f>CEILING(28*$Z$2,0.1)</f>
        <v>35</v>
      </c>
      <c r="F1414" s="76"/>
      <c r="G1414" s="899">
        <f>CEILING(26*$Z$2,0.1)</f>
        <v>32.5</v>
      </c>
      <c r="H1414" s="76"/>
      <c r="I1414" s="7"/>
      <c r="J1414" s="273"/>
      <c r="K1414" s="273"/>
      <c r="L1414" s="273"/>
      <c r="M1414" s="273"/>
      <c r="N1414" s="273"/>
      <c r="O1414" s="273"/>
    </row>
    <row r="1415" spans="1:15" ht="14.25">
      <c r="A1415" s="259"/>
      <c r="B1415" s="396" t="s">
        <v>312</v>
      </c>
      <c r="C1415" s="899">
        <v>0</v>
      </c>
      <c r="D1415" s="76"/>
      <c r="E1415" s="899">
        <v>0</v>
      </c>
      <c r="F1415" s="76"/>
      <c r="G1415" s="899">
        <v>0</v>
      </c>
      <c r="H1415" s="76"/>
      <c r="I1415" s="7"/>
      <c r="J1415" s="273"/>
      <c r="K1415" s="273"/>
      <c r="L1415" s="273"/>
      <c r="M1415" s="273"/>
      <c r="N1415" s="273"/>
      <c r="O1415" s="273"/>
    </row>
    <row r="1416" spans="1:15" ht="15" thickBot="1">
      <c r="A1416" s="64" t="s">
        <v>550</v>
      </c>
      <c r="B1416" s="400" t="s">
        <v>313</v>
      </c>
      <c r="C1416" s="815">
        <f>CEILING((C1413*0.7),0.1)</f>
        <v>17.5</v>
      </c>
      <c r="D1416" s="77"/>
      <c r="E1416" s="815">
        <f>CEILING((E1413*0.7),0.1)</f>
        <v>20.200000000000003</v>
      </c>
      <c r="F1416" s="77"/>
      <c r="G1416" s="815">
        <f>CEILING((G1413*0.7),0.1)</f>
        <v>17.5</v>
      </c>
      <c r="H1416" s="77"/>
      <c r="I1416" s="7"/>
      <c r="J1416" s="273"/>
      <c r="K1416" s="273"/>
      <c r="L1416" s="273"/>
      <c r="M1416" s="273"/>
      <c r="N1416" s="273"/>
      <c r="O1416" s="273"/>
    </row>
    <row r="1417" spans="1:15" ht="15.75" thickBot="1" thickTop="1">
      <c r="A1417" s="65"/>
      <c r="B1417" s="869"/>
      <c r="C1417" s="45"/>
      <c r="D1417" s="45"/>
      <c r="E1417" s="45"/>
      <c r="F1417" s="45"/>
      <c r="G1417" s="45"/>
      <c r="H1417" s="45"/>
      <c r="I1417" s="7"/>
      <c r="J1417" s="273"/>
      <c r="K1417" s="273"/>
      <c r="L1417" s="273"/>
      <c r="M1417" s="273"/>
      <c r="N1417" s="273"/>
      <c r="O1417" s="273"/>
    </row>
    <row r="1418" spans="1:15" ht="15.75" thickTop="1">
      <c r="A1418" s="1078" t="s">
        <v>4</v>
      </c>
      <c r="B1418" s="125"/>
      <c r="C1418" s="1026" t="s">
        <v>805</v>
      </c>
      <c r="D1418" s="1034"/>
      <c r="E1418" s="8"/>
      <c r="F1418" s="45"/>
      <c r="G1418" s="45"/>
      <c r="H1418" s="45"/>
      <c r="I1418" s="7"/>
      <c r="J1418" s="273"/>
      <c r="K1418" s="273"/>
      <c r="L1418" s="273"/>
      <c r="M1418" s="273"/>
      <c r="N1418" s="273"/>
      <c r="O1418" s="273"/>
    </row>
    <row r="1419" spans="1:15" ht="15">
      <c r="A1419" s="1079"/>
      <c r="B1419" s="133"/>
      <c r="C1419" s="780" t="s">
        <v>70</v>
      </c>
      <c r="D1419" s="306"/>
      <c r="E1419" s="8"/>
      <c r="F1419" s="45"/>
      <c r="G1419" s="45"/>
      <c r="H1419" s="45"/>
      <c r="I1419" s="7"/>
      <c r="J1419" s="273"/>
      <c r="K1419" s="273"/>
      <c r="L1419" s="273"/>
      <c r="M1419" s="273"/>
      <c r="N1419" s="273"/>
      <c r="O1419" s="273"/>
    </row>
    <row r="1420" spans="1:15" ht="15">
      <c r="A1420" s="91" t="s">
        <v>806</v>
      </c>
      <c r="B1420" s="394" t="s">
        <v>11</v>
      </c>
      <c r="C1420" s="841">
        <f>CEILING(48*$Z$2,0.1)</f>
        <v>60</v>
      </c>
      <c r="D1420" s="847"/>
      <c r="E1420" s="8"/>
      <c r="F1420" s="45"/>
      <c r="G1420" s="45"/>
      <c r="H1420" s="45"/>
      <c r="I1420" s="7"/>
      <c r="J1420" s="273"/>
      <c r="K1420" s="273"/>
      <c r="L1420" s="273"/>
      <c r="M1420" s="273"/>
      <c r="N1420" s="273"/>
      <c r="O1420" s="273"/>
    </row>
    <row r="1421" spans="1:15" ht="15">
      <c r="A1421" s="15" t="s">
        <v>18</v>
      </c>
      <c r="B1421" s="317" t="s">
        <v>7</v>
      </c>
      <c r="C1421" s="841">
        <f>CEILING(60*$Z$2,0.1)</f>
        <v>75</v>
      </c>
      <c r="D1421" s="842"/>
      <c r="E1421" s="8"/>
      <c r="F1421" s="45"/>
      <c r="G1421" s="45"/>
      <c r="H1421" s="45"/>
      <c r="I1421" s="7"/>
      <c r="J1421" s="273"/>
      <c r="K1421" s="273"/>
      <c r="L1421" s="273"/>
      <c r="M1421" s="273"/>
      <c r="N1421" s="273"/>
      <c r="O1421" s="273"/>
    </row>
    <row r="1422" spans="1:15" ht="15">
      <c r="A1422" s="21"/>
      <c r="B1422" s="557" t="s">
        <v>69</v>
      </c>
      <c r="C1422" s="844">
        <f>CEILING((C1420*0.85),0.1)</f>
        <v>51</v>
      </c>
      <c r="D1422" s="842"/>
      <c r="E1422" s="8"/>
      <c r="F1422" s="45"/>
      <c r="G1422" s="45"/>
      <c r="H1422" s="45"/>
      <c r="I1422" s="7"/>
      <c r="J1422" s="273"/>
      <c r="K1422" s="273"/>
      <c r="L1422" s="273"/>
      <c r="M1422" s="273"/>
      <c r="N1422" s="273"/>
      <c r="O1422" s="273"/>
    </row>
    <row r="1423" spans="1:15" ht="15">
      <c r="A1423" s="21"/>
      <c r="B1423" s="813" t="s">
        <v>2</v>
      </c>
      <c r="C1423" s="846">
        <v>0</v>
      </c>
      <c r="D1423" s="842"/>
      <c r="E1423" s="8"/>
      <c r="F1423" s="45"/>
      <c r="G1423" s="45"/>
      <c r="H1423" s="45"/>
      <c r="I1423" s="7"/>
      <c r="J1423" s="273"/>
      <c r="K1423" s="273"/>
      <c r="L1423" s="273"/>
      <c r="M1423" s="273"/>
      <c r="N1423" s="273"/>
      <c r="O1423" s="273"/>
    </row>
    <row r="1424" spans="1:15" ht="15">
      <c r="A1424" s="21"/>
      <c r="B1424" s="164" t="s">
        <v>808</v>
      </c>
      <c r="C1424" s="841">
        <f>CEILING(88*$Z$2,0.1)</f>
        <v>110</v>
      </c>
      <c r="D1424" s="842"/>
      <c r="E1424" s="8"/>
      <c r="F1424" s="45"/>
      <c r="G1424" s="45"/>
      <c r="H1424" s="45"/>
      <c r="I1424" s="7"/>
      <c r="J1424" s="273"/>
      <c r="K1424" s="273"/>
      <c r="L1424" s="273"/>
      <c r="M1424" s="273"/>
      <c r="N1424" s="273"/>
      <c r="O1424" s="273"/>
    </row>
    <row r="1425" spans="1:15" ht="15" thickBot="1">
      <c r="A1425" s="63" t="s">
        <v>807</v>
      </c>
      <c r="B1425" s="165" t="s">
        <v>809</v>
      </c>
      <c r="C1425" s="843">
        <f>CEILING(100*$Z$2,0.1)</f>
        <v>125</v>
      </c>
      <c r="D1425" s="647"/>
      <c r="E1425" s="8"/>
      <c r="F1425" s="45"/>
      <c r="G1425" s="45"/>
      <c r="H1425" s="45"/>
      <c r="I1425" s="7"/>
      <c r="J1425" s="273"/>
      <c r="K1425" s="273"/>
      <c r="L1425" s="273"/>
      <c r="M1425" s="273"/>
      <c r="N1425" s="273"/>
      <c r="O1425" s="273"/>
    </row>
    <row r="1426" spans="1:15" ht="15" thickTop="1">
      <c r="A1426" s="65" t="s">
        <v>810</v>
      </c>
      <c r="B1426" s="403"/>
      <c r="C1426" s="45"/>
      <c r="D1426" s="45"/>
      <c r="E1426" s="45"/>
      <c r="F1426" s="45"/>
      <c r="G1426" s="45"/>
      <c r="H1426" s="45"/>
      <c r="I1426" s="7"/>
      <c r="J1426" s="273"/>
      <c r="K1426" s="273"/>
      <c r="L1426" s="273"/>
      <c r="M1426" s="273"/>
      <c r="N1426" s="273"/>
      <c r="O1426" s="273"/>
    </row>
    <row r="1427" spans="1:15" ht="16.5" customHeight="1" thickBot="1">
      <c r="A1427" s="268"/>
      <c r="B1427" s="870"/>
      <c r="C1427" s="17"/>
      <c r="D1427" s="17"/>
      <c r="E1427" s="17"/>
      <c r="F1427" s="17"/>
      <c r="G1427" s="17"/>
      <c r="H1427" s="17"/>
      <c r="I1427" s="1"/>
      <c r="J1427" s="273"/>
      <c r="K1427" s="273"/>
      <c r="L1427" s="273"/>
      <c r="M1427" s="273"/>
      <c r="N1427" s="273"/>
      <c r="O1427" s="273"/>
    </row>
    <row r="1428" spans="1:15" ht="15.75" thickTop="1">
      <c r="A1428" s="1032" t="s">
        <v>4</v>
      </c>
      <c r="B1428" s="1013" t="s">
        <v>757</v>
      </c>
      <c r="C1428" s="1026" t="s">
        <v>592</v>
      </c>
      <c r="D1428" s="1034"/>
      <c r="E1428" s="1026" t="s">
        <v>593</v>
      </c>
      <c r="F1428" s="1034"/>
      <c r="G1428" s="1026" t="s">
        <v>594</v>
      </c>
      <c r="H1428" s="1034"/>
      <c r="I1428" s="6"/>
      <c r="J1428" s="273"/>
      <c r="K1428" s="273"/>
      <c r="L1428" s="273"/>
      <c r="M1428" s="273"/>
      <c r="N1428" s="273"/>
      <c r="O1428" s="273"/>
    </row>
    <row r="1429" spans="1:15" ht="14.25">
      <c r="A1429" s="1033"/>
      <c r="B1429" s="1014"/>
      <c r="C1429" s="82" t="s">
        <v>195</v>
      </c>
      <c r="D1429" s="82"/>
      <c r="E1429" s="82" t="s">
        <v>195</v>
      </c>
      <c r="F1429" s="82"/>
      <c r="G1429" s="82" t="s">
        <v>195</v>
      </c>
      <c r="H1429" s="83"/>
      <c r="I1429" s="6"/>
      <c r="J1429" s="273"/>
      <c r="K1429" s="273"/>
      <c r="L1429" s="273"/>
      <c r="M1429" s="273"/>
      <c r="N1429" s="273"/>
      <c r="O1429" s="273"/>
    </row>
    <row r="1430" spans="1:15" ht="15">
      <c r="A1430" s="99" t="s">
        <v>755</v>
      </c>
      <c r="B1430" s="627" t="s">
        <v>11</v>
      </c>
      <c r="C1430" s="763">
        <f>CEILING(39*$Z$2,0.1)</f>
        <v>48.800000000000004</v>
      </c>
      <c r="D1430" s="767"/>
      <c r="E1430" s="763">
        <f>CEILING(46*$Z$2,0.1)</f>
        <v>57.5</v>
      </c>
      <c r="F1430" s="247"/>
      <c r="G1430" s="763">
        <f>CEILING(39*$Z$2,0.1)</f>
        <v>48.800000000000004</v>
      </c>
      <c r="H1430" s="767"/>
      <c r="I1430" s="6"/>
      <c r="J1430" s="273"/>
      <c r="K1430" s="273"/>
      <c r="L1430" s="273"/>
      <c r="M1430" s="273"/>
      <c r="N1430" s="273"/>
      <c r="O1430" s="273"/>
    </row>
    <row r="1431" spans="1:15" ht="15">
      <c r="A1431" s="184" t="s">
        <v>24</v>
      </c>
      <c r="B1431" s="521" t="s">
        <v>7</v>
      </c>
      <c r="C1431" s="763">
        <f>CEILING(51*$Z$2,0.1)</f>
        <v>63.800000000000004</v>
      </c>
      <c r="D1431" s="767"/>
      <c r="E1431" s="763">
        <f>CEILING(58*$Z$2,0.1)</f>
        <v>72.5</v>
      </c>
      <c r="F1431" s="76"/>
      <c r="G1431" s="763">
        <f>CEILING(51*$Z$2,0.1)</f>
        <v>63.800000000000004</v>
      </c>
      <c r="H1431" s="767"/>
      <c r="I1431" s="6"/>
      <c r="J1431" s="273"/>
      <c r="K1431" s="273"/>
      <c r="L1431" s="273"/>
      <c r="M1431" s="273"/>
      <c r="N1431" s="273"/>
      <c r="O1431" s="273"/>
    </row>
    <row r="1432" spans="1:15" ht="15">
      <c r="A1432" s="184"/>
      <c r="B1432" s="557" t="s">
        <v>69</v>
      </c>
      <c r="C1432" s="763">
        <f>CEILING(31*$Z$2,0.1)</f>
        <v>38.800000000000004</v>
      </c>
      <c r="D1432" s="767"/>
      <c r="E1432" s="763">
        <f>CEILING(37*$Z$2,0.1)</f>
        <v>46.300000000000004</v>
      </c>
      <c r="F1432" s="76"/>
      <c r="G1432" s="763">
        <f>CEILING(31*$Z$2,0.1)</f>
        <v>38.800000000000004</v>
      </c>
      <c r="H1432" s="767"/>
      <c r="I1432" s="6"/>
      <c r="J1432" s="273"/>
      <c r="K1432" s="273"/>
      <c r="L1432" s="273"/>
      <c r="M1432" s="273"/>
      <c r="N1432" s="273"/>
      <c r="O1432" s="273"/>
    </row>
    <row r="1433" spans="1:15" ht="14.25">
      <c r="A1433" s="829" t="s">
        <v>756</v>
      </c>
      <c r="B1433" s="813" t="s">
        <v>2</v>
      </c>
      <c r="C1433" s="767">
        <v>0</v>
      </c>
      <c r="D1433" s="767"/>
      <c r="E1433" s="767">
        <v>0</v>
      </c>
      <c r="F1433" s="76"/>
      <c r="G1433" s="767">
        <v>0</v>
      </c>
      <c r="H1433" s="767"/>
      <c r="I1433" s="6"/>
      <c r="J1433" s="273"/>
      <c r="K1433" s="273"/>
      <c r="L1433" s="273"/>
      <c r="M1433" s="273"/>
      <c r="N1433" s="273"/>
      <c r="O1433" s="273"/>
    </row>
    <row r="1434" spans="1:15" ht="15">
      <c r="A1434" s="184"/>
      <c r="B1434" s="568" t="s">
        <v>13</v>
      </c>
      <c r="C1434" s="763">
        <f>CEILING(42*$Z$2,0.1)</f>
        <v>52.5</v>
      </c>
      <c r="D1434" s="610"/>
      <c r="E1434" s="763">
        <f>CEILING(49*$Z$2,0.1)</f>
        <v>61.300000000000004</v>
      </c>
      <c r="F1434" s="76"/>
      <c r="G1434" s="763">
        <f>CEILING(42*$Z$2,0.1)</f>
        <v>52.5</v>
      </c>
      <c r="H1434" s="767"/>
      <c r="I1434" s="6"/>
      <c r="J1434" s="273"/>
      <c r="K1434" s="273"/>
      <c r="L1434" s="273"/>
      <c r="M1434" s="273"/>
      <c r="N1434" s="273"/>
      <c r="O1434" s="273"/>
    </row>
    <row r="1435" spans="1:15" ht="15" thickBot="1">
      <c r="A1435" s="64" t="s">
        <v>369</v>
      </c>
      <c r="B1435" s="574" t="s">
        <v>62</v>
      </c>
      <c r="C1435" s="776">
        <f>CEILING(54*$Z$2,0.1)</f>
        <v>67.5</v>
      </c>
      <c r="D1435" s="611"/>
      <c r="E1435" s="776">
        <f>CEILING(61*$Z$2,0.1)</f>
        <v>76.3</v>
      </c>
      <c r="F1435" s="77"/>
      <c r="G1435" s="776">
        <f>CEILING(54*$Z$2,0.1)</f>
        <v>67.5</v>
      </c>
      <c r="H1435" s="611"/>
      <c r="I1435" s="1"/>
      <c r="J1435" s="273"/>
      <c r="K1435" s="273"/>
      <c r="L1435" s="273"/>
      <c r="M1435" s="273"/>
      <c r="N1435" s="273"/>
      <c r="O1435" s="273"/>
    </row>
    <row r="1436" spans="1:15" ht="15" thickTop="1">
      <c r="A1436" s="132"/>
      <c r="B1436" s="132"/>
      <c r="C1436" s="132"/>
      <c r="D1436" s="132"/>
      <c r="E1436" s="132"/>
      <c r="F1436" s="44"/>
      <c r="G1436" s="44"/>
      <c r="H1436" s="44"/>
      <c r="I1436" s="1"/>
      <c r="J1436" s="273"/>
      <c r="K1436" s="273"/>
      <c r="L1436" s="273"/>
      <c r="M1436" s="273"/>
      <c r="N1436" s="273"/>
      <c r="O1436" s="273"/>
    </row>
    <row r="1437" spans="1:15" ht="15.75" customHeight="1">
      <c r="A1437" s="1167" t="s">
        <v>119</v>
      </c>
      <c r="B1437" s="1167"/>
      <c r="C1437" s="1167"/>
      <c r="D1437" s="1167"/>
      <c r="E1437" s="1167"/>
      <c r="F1437" s="1167"/>
      <c r="G1437" s="1167"/>
      <c r="H1437" s="1167"/>
      <c r="I1437" s="1167"/>
      <c r="J1437" s="273"/>
      <c r="K1437" s="273"/>
      <c r="L1437" s="273"/>
      <c r="M1437" s="273"/>
      <c r="N1437" s="273"/>
      <c r="O1437" s="273"/>
    </row>
    <row r="1438" spans="1:15" ht="15" thickBot="1">
      <c r="A1438" s="40"/>
      <c r="B1438" s="40"/>
      <c r="C1438" s="40"/>
      <c r="D1438" s="40"/>
      <c r="E1438" s="132"/>
      <c r="F1438" s="132"/>
      <c r="G1438" s="132"/>
      <c r="H1438" s="132"/>
      <c r="I1438" s="1"/>
      <c r="J1438" s="273"/>
      <c r="K1438" s="273"/>
      <c r="L1438" s="273"/>
      <c r="M1438" s="273"/>
      <c r="N1438" s="273"/>
      <c r="O1438" s="273"/>
    </row>
    <row r="1439" spans="1:15" ht="15.75" thickTop="1">
      <c r="A1439" s="1078" t="s">
        <v>4</v>
      </c>
      <c r="B1439" s="125"/>
      <c r="C1439" s="1026" t="s">
        <v>623</v>
      </c>
      <c r="D1439" s="1034"/>
      <c r="E1439" s="1026" t="s">
        <v>624</v>
      </c>
      <c r="F1439" s="1034"/>
      <c r="G1439" s="1028"/>
      <c r="H1439" s="1029"/>
      <c r="I1439" s="7"/>
      <c r="J1439" s="273"/>
      <c r="K1439" s="273"/>
      <c r="L1439" s="273"/>
      <c r="M1439" s="273"/>
      <c r="N1439" s="273"/>
      <c r="O1439" s="273"/>
    </row>
    <row r="1440" spans="1:15" ht="15">
      <c r="A1440" s="1079"/>
      <c r="B1440" s="133"/>
      <c r="C1440" s="780" t="s">
        <v>70</v>
      </c>
      <c r="D1440" s="306"/>
      <c r="E1440" s="82" t="s">
        <v>70</v>
      </c>
      <c r="F1440" s="306"/>
      <c r="G1440" s="487"/>
      <c r="H1440" s="486"/>
      <c r="I1440" s="7"/>
      <c r="J1440" s="273"/>
      <c r="K1440" s="273"/>
      <c r="L1440" s="273"/>
      <c r="M1440" s="273"/>
      <c r="N1440" s="273"/>
      <c r="O1440" s="273"/>
    </row>
    <row r="1441" spans="1:15" ht="15">
      <c r="A1441" s="91" t="s">
        <v>56</v>
      </c>
      <c r="B1441" s="394" t="s">
        <v>98</v>
      </c>
      <c r="C1441" s="751">
        <f>CEILING(202.5*$Z$2,0.1)</f>
        <v>253.20000000000002</v>
      </c>
      <c r="D1441" s="392"/>
      <c r="E1441" s="751">
        <f>CEILING(135.5*$Z$2,0.1)</f>
        <v>169.4</v>
      </c>
      <c r="F1441" s="485"/>
      <c r="G1441" s="661"/>
      <c r="H1441" s="662"/>
      <c r="I1441" s="7"/>
      <c r="J1441" s="273"/>
      <c r="K1441" s="273"/>
      <c r="L1441" s="273"/>
      <c r="M1441" s="273"/>
      <c r="N1441" s="273"/>
      <c r="O1441" s="273"/>
    </row>
    <row r="1442" spans="1:15" ht="15">
      <c r="A1442" s="15" t="s">
        <v>6</v>
      </c>
      <c r="B1442" s="317" t="s">
        <v>99</v>
      </c>
      <c r="C1442" s="751">
        <f>CEILING(405*$Z$2,0.1)</f>
        <v>506.3</v>
      </c>
      <c r="D1442" s="391"/>
      <c r="E1442" s="751">
        <f>CEILING(271*$Z$2,0.1)</f>
        <v>338.8</v>
      </c>
      <c r="F1442" s="8"/>
      <c r="G1442" s="661"/>
      <c r="H1442" s="662"/>
      <c r="I1442" s="7"/>
      <c r="J1442" s="273"/>
      <c r="K1442" s="273"/>
      <c r="L1442" s="273"/>
      <c r="M1442" s="273"/>
      <c r="N1442" s="273"/>
      <c r="O1442" s="273"/>
    </row>
    <row r="1443" spans="1:15" ht="15">
      <c r="A1443" s="21"/>
      <c r="B1443" s="317" t="s">
        <v>621</v>
      </c>
      <c r="C1443" s="751">
        <f>CEILING(242*$Z$2,0.1)</f>
        <v>302.5</v>
      </c>
      <c r="D1443" s="391"/>
      <c r="E1443" s="751">
        <f>CEILING(162*$Z$2,0.1)</f>
        <v>202.5</v>
      </c>
      <c r="F1443" s="8"/>
      <c r="G1443" s="661"/>
      <c r="H1443" s="662"/>
      <c r="I1443" s="7"/>
      <c r="J1443" s="273"/>
      <c r="K1443" s="273"/>
      <c r="L1443" s="273"/>
      <c r="M1443" s="273"/>
      <c r="N1443" s="273"/>
      <c r="O1443" s="273"/>
    </row>
    <row r="1444" spans="1:15" ht="15">
      <c r="A1444" s="21"/>
      <c r="B1444" s="317" t="s">
        <v>622</v>
      </c>
      <c r="C1444" s="751">
        <f>CEILING(484*$Z$2,0.1)</f>
        <v>605</v>
      </c>
      <c r="D1444" s="391"/>
      <c r="E1444" s="751">
        <f>CEILING(324*$Z$2,0.1)</f>
        <v>405</v>
      </c>
      <c r="F1444" s="8"/>
      <c r="G1444" s="661"/>
      <c r="H1444" s="662"/>
      <c r="I1444" s="7"/>
      <c r="J1444" s="273"/>
      <c r="K1444" s="273"/>
      <c r="L1444" s="273"/>
      <c r="M1444" s="273"/>
      <c r="N1444" s="273"/>
      <c r="O1444" s="273"/>
    </row>
    <row r="1445" spans="1:15" ht="15">
      <c r="A1445" s="21"/>
      <c r="B1445" s="164" t="s">
        <v>309</v>
      </c>
      <c r="C1445" s="751">
        <f>CEILING(161*$Z$2,0.1)</f>
        <v>201.3</v>
      </c>
      <c r="D1445" s="391"/>
      <c r="E1445" s="751">
        <f>CEILING(121*$Z$2,0.1)</f>
        <v>151.3</v>
      </c>
      <c r="F1445" s="391"/>
      <c r="G1445" s="661"/>
      <c r="H1445" s="662"/>
      <c r="I1445" s="7"/>
      <c r="J1445" s="273"/>
      <c r="K1445" s="273"/>
      <c r="L1445" s="273"/>
      <c r="M1445" s="273"/>
      <c r="N1445" s="273"/>
      <c r="O1445" s="273"/>
    </row>
    <row r="1446" spans="1:15" ht="15">
      <c r="A1446" s="21"/>
      <c r="B1446" s="164" t="s">
        <v>120</v>
      </c>
      <c r="C1446" s="751">
        <f>CEILING(357*$Z$2,0.1)</f>
        <v>446.3</v>
      </c>
      <c r="D1446" s="391"/>
      <c r="E1446" s="751">
        <f>CEILING(357*$Z$2,0.1)</f>
        <v>446.3</v>
      </c>
      <c r="F1446" s="8"/>
      <c r="G1446" s="661"/>
      <c r="H1446" s="662"/>
      <c r="I1446" s="7"/>
      <c r="J1446" s="273"/>
      <c r="K1446" s="273"/>
      <c r="L1446" s="273"/>
      <c r="M1446" s="273"/>
      <c r="N1446" s="273"/>
      <c r="O1446" s="273"/>
    </row>
    <row r="1447" spans="1:15" ht="15">
      <c r="A1447" s="21"/>
      <c r="B1447" s="164" t="s">
        <v>121</v>
      </c>
      <c r="C1447" s="751">
        <f>CEILING(714*$Z$2,0.1)</f>
        <v>892.5</v>
      </c>
      <c r="D1447" s="391"/>
      <c r="E1447" s="751">
        <f>CEILING(714*$Z$2,0.1)</f>
        <v>892.5</v>
      </c>
      <c r="F1447" s="8"/>
      <c r="G1447" s="661"/>
      <c r="H1447" s="662"/>
      <c r="I1447" s="7"/>
      <c r="J1447" s="273"/>
      <c r="K1447" s="273"/>
      <c r="L1447" s="273"/>
      <c r="M1447" s="273"/>
      <c r="N1447" s="273"/>
      <c r="O1447" s="273"/>
    </row>
    <row r="1448" spans="1:15" ht="15">
      <c r="A1448" s="21"/>
      <c r="B1448" s="164" t="s">
        <v>122</v>
      </c>
      <c r="C1448" s="751">
        <f>CEILING(429*$Z$2,0.1)</f>
        <v>536.3000000000001</v>
      </c>
      <c r="D1448" s="391"/>
      <c r="E1448" s="751">
        <f>CEILING(429*$Z$2,0.1)</f>
        <v>536.3000000000001</v>
      </c>
      <c r="F1448" s="391"/>
      <c r="G1448" s="661"/>
      <c r="H1448" s="662"/>
      <c r="I1448" s="7"/>
      <c r="J1448" s="273"/>
      <c r="K1448" s="273"/>
      <c r="L1448" s="273"/>
      <c r="M1448" s="273"/>
      <c r="N1448" s="273"/>
      <c r="O1448" s="273"/>
    </row>
    <row r="1449" spans="1:15" ht="15">
      <c r="A1449" s="21"/>
      <c r="B1449" s="164" t="s">
        <v>123</v>
      </c>
      <c r="C1449" s="751">
        <f>CEILING(858*$Z$2,0.1)</f>
        <v>1072.5</v>
      </c>
      <c r="D1449" s="391"/>
      <c r="E1449" s="751">
        <f>CEILING(858*$Z$2,0.1)</f>
        <v>1072.5</v>
      </c>
      <c r="F1449" s="8"/>
      <c r="G1449" s="661"/>
      <c r="H1449" s="662"/>
      <c r="I1449" s="7"/>
      <c r="J1449" s="273"/>
      <c r="K1449" s="273"/>
      <c r="L1449" s="273"/>
      <c r="M1449" s="273"/>
      <c r="N1449" s="273"/>
      <c r="O1449" s="273"/>
    </row>
    <row r="1450" spans="1:15" ht="15">
      <c r="A1450" s="21"/>
      <c r="B1450" s="164" t="s">
        <v>124</v>
      </c>
      <c r="C1450" s="751">
        <f>CEILING(578*$Z$2,0.1)</f>
        <v>722.5</v>
      </c>
      <c r="D1450" s="391"/>
      <c r="E1450" s="751">
        <f>CEILING(578*$Z$2,0.1)</f>
        <v>722.5</v>
      </c>
      <c r="F1450" s="8"/>
      <c r="G1450" s="661"/>
      <c r="H1450" s="662"/>
      <c r="I1450" s="7"/>
      <c r="J1450" s="273"/>
      <c r="K1450" s="273"/>
      <c r="L1450" s="273"/>
      <c r="M1450" s="273"/>
      <c r="N1450" s="273"/>
      <c r="O1450" s="273"/>
    </row>
    <row r="1451" spans="1:15" ht="15" thickBot="1">
      <c r="A1451" s="63" t="s">
        <v>549</v>
      </c>
      <c r="B1451" s="165" t="s">
        <v>125</v>
      </c>
      <c r="C1451" s="758">
        <f>CEILING(1156*$Z$2,0.1)</f>
        <v>1445</v>
      </c>
      <c r="D1451" s="391"/>
      <c r="E1451" s="758">
        <f>CEILING(1156*$Z$2,0.1)</f>
        <v>1445</v>
      </c>
      <c r="F1451" s="391"/>
      <c r="G1451" s="661"/>
      <c r="H1451" s="662"/>
      <c r="I1451" s="7"/>
      <c r="J1451" s="273"/>
      <c r="K1451" s="273"/>
      <c r="L1451" s="273"/>
      <c r="M1451" s="273"/>
      <c r="N1451" s="273"/>
      <c r="O1451" s="273"/>
    </row>
    <row r="1452" spans="1:15" ht="15" thickTop="1">
      <c r="A1452" s="1046" t="s">
        <v>151</v>
      </c>
      <c r="B1452" s="1046"/>
      <c r="C1452" s="1046"/>
      <c r="D1452" s="1046"/>
      <c r="E1452" s="1046"/>
      <c r="F1452" s="1046"/>
      <c r="G1452" s="1047"/>
      <c r="H1452" s="1047"/>
      <c r="I1452" s="1"/>
      <c r="J1452" s="273"/>
      <c r="K1452" s="273"/>
      <c r="L1452" s="273"/>
      <c r="M1452" s="273"/>
      <c r="N1452" s="273"/>
      <c r="O1452" s="273"/>
    </row>
    <row r="1453" spans="1:15" ht="20.25" customHeight="1" thickBot="1">
      <c r="A1453" s="17"/>
      <c r="B1453" s="17"/>
      <c r="C1453" s="35"/>
      <c r="D1453" s="35"/>
      <c r="E1453" s="17"/>
      <c r="F1453" s="17"/>
      <c r="G1453" s="17"/>
      <c r="H1453" s="17"/>
      <c r="I1453" s="1"/>
      <c r="J1453" s="273"/>
      <c r="K1453" s="273"/>
      <c r="L1453" s="273"/>
      <c r="M1453" s="273"/>
      <c r="N1453" s="273"/>
      <c r="O1453" s="273"/>
    </row>
    <row r="1454" spans="1:15" ht="15.75" thickTop="1">
      <c r="A1454" s="1171" t="s">
        <v>4</v>
      </c>
      <c r="B1454" s="1159"/>
      <c r="C1454" s="1026" t="s">
        <v>625</v>
      </c>
      <c r="D1454" s="1034"/>
      <c r="E1454" s="1028"/>
      <c r="F1454" s="1029"/>
      <c r="G1454" s="1029"/>
      <c r="H1454" s="1029"/>
      <c r="I1454" s="7"/>
      <c r="J1454" s="273"/>
      <c r="K1454" s="273"/>
      <c r="L1454" s="273"/>
      <c r="M1454" s="273"/>
      <c r="N1454" s="273"/>
      <c r="O1454" s="273"/>
    </row>
    <row r="1455" spans="1:15" ht="14.25">
      <c r="A1455" s="1172"/>
      <c r="B1455" s="1160"/>
      <c r="C1455" s="82" t="s">
        <v>70</v>
      </c>
      <c r="D1455" s="306"/>
      <c r="E1455" s="487"/>
      <c r="F1455" s="486"/>
      <c r="G1455" s="486"/>
      <c r="H1455" s="486"/>
      <c r="I1455" s="118"/>
      <c r="J1455" s="273"/>
      <c r="K1455" s="273"/>
      <c r="L1455" s="273"/>
      <c r="M1455" s="273"/>
      <c r="N1455" s="273"/>
      <c r="O1455" s="273"/>
    </row>
    <row r="1456" spans="1:15" ht="15.75" customHeight="1">
      <c r="A1456" s="18" t="s">
        <v>129</v>
      </c>
      <c r="B1456" s="325" t="s">
        <v>343</v>
      </c>
      <c r="C1456" s="910">
        <f>CEILING(100*$Z$1,0.1)</f>
        <v>125</v>
      </c>
      <c r="D1456" s="485"/>
      <c r="E1456" s="537"/>
      <c r="F1456" s="538"/>
      <c r="G1456" s="538"/>
      <c r="H1456" s="538"/>
      <c r="I1456" s="118"/>
      <c r="J1456" s="273"/>
      <c r="K1456" s="273"/>
      <c r="L1456" s="273"/>
      <c r="M1456" s="273"/>
      <c r="N1456" s="273"/>
      <c r="O1456" s="273"/>
    </row>
    <row r="1457" spans="1:15" ht="15">
      <c r="A1457" s="21" t="s">
        <v>6</v>
      </c>
      <c r="B1457" s="164" t="s">
        <v>344</v>
      </c>
      <c r="C1457" s="909">
        <f>CEILING((C1456+45*$Z$2),0.1)</f>
        <v>181.3</v>
      </c>
      <c r="D1457" s="8"/>
      <c r="E1457" s="537"/>
      <c r="F1457" s="538"/>
      <c r="G1457" s="538"/>
      <c r="H1457" s="538"/>
      <c r="I1457" s="7"/>
      <c r="J1457" s="273"/>
      <c r="K1457" s="273"/>
      <c r="L1457" s="273"/>
      <c r="M1457" s="273"/>
      <c r="N1457" s="273"/>
      <c r="O1457" s="273"/>
    </row>
    <row r="1458" spans="1:15" ht="15">
      <c r="A1458" s="21"/>
      <c r="B1458" s="783" t="s">
        <v>69</v>
      </c>
      <c r="C1458" s="910">
        <f>CEILING((C1456*0.85),0.1)</f>
        <v>106.30000000000001</v>
      </c>
      <c r="D1458" s="8"/>
      <c r="E1458" s="537"/>
      <c r="F1458" s="538"/>
      <c r="G1458" s="538"/>
      <c r="H1458" s="538"/>
      <c r="I1458" s="7"/>
      <c r="J1458" s="273"/>
      <c r="K1458" s="273"/>
      <c r="L1458" s="273"/>
      <c r="M1458" s="273"/>
      <c r="N1458" s="273"/>
      <c r="O1458" s="273"/>
    </row>
    <row r="1459" spans="1:15" ht="15">
      <c r="A1459" s="21"/>
      <c r="B1459" s="292" t="s">
        <v>101</v>
      </c>
      <c r="C1459" s="910">
        <f>CEILING((C1456*0.5),0.1)</f>
        <v>62.5</v>
      </c>
      <c r="D1459" s="8"/>
      <c r="E1459" s="537"/>
      <c r="F1459" s="538"/>
      <c r="G1459" s="538"/>
      <c r="H1459" s="538"/>
      <c r="I1459" s="7"/>
      <c r="J1459" s="273"/>
      <c r="K1459" s="273"/>
      <c r="L1459" s="273"/>
      <c r="M1459" s="273"/>
      <c r="N1459" s="273"/>
      <c r="O1459" s="273"/>
    </row>
    <row r="1460" spans="1:15" ht="14.25">
      <c r="A1460" s="515" t="s">
        <v>898</v>
      </c>
      <c r="B1460" s="784" t="s">
        <v>349</v>
      </c>
      <c r="C1460" s="910">
        <f>CEILING(120*$Z$1,0.1)</f>
        <v>150</v>
      </c>
      <c r="D1460" s="8"/>
      <c r="E1460" s="853"/>
      <c r="F1460" s="854"/>
      <c r="G1460" s="854"/>
      <c r="H1460" s="854"/>
      <c r="I1460" s="7"/>
      <c r="J1460" s="273"/>
      <c r="K1460" s="273"/>
      <c r="L1460" s="273"/>
      <c r="M1460" s="273"/>
      <c r="N1460" s="273"/>
      <c r="O1460" s="273"/>
    </row>
    <row r="1461" spans="1:15" ht="14.25">
      <c r="A1461" s="571" t="s">
        <v>899</v>
      </c>
      <c r="B1461" s="784" t="s">
        <v>350</v>
      </c>
      <c r="C1461" s="909">
        <f>CEILING((C1460+45*$Z$2),0.1)</f>
        <v>206.3</v>
      </c>
      <c r="D1461" s="8"/>
      <c r="E1461" s="853"/>
      <c r="F1461" s="854"/>
      <c r="G1461" s="854"/>
      <c r="H1461" s="854"/>
      <c r="I1461" s="7"/>
      <c r="J1461" s="273"/>
      <c r="K1461" s="273"/>
      <c r="L1461" s="273"/>
      <c r="M1461" s="273"/>
      <c r="N1461" s="273"/>
      <c r="O1461" s="273"/>
    </row>
    <row r="1462" spans="1:15" ht="15">
      <c r="A1462" s="21"/>
      <c r="B1462" s="784" t="s">
        <v>355</v>
      </c>
      <c r="C1462" s="910">
        <f>CEILING(135*$Z$1,0.1)</f>
        <v>168.8</v>
      </c>
      <c r="D1462" s="8"/>
      <c r="E1462" s="853"/>
      <c r="F1462" s="854"/>
      <c r="G1462" s="854"/>
      <c r="H1462" s="854"/>
      <c r="I1462" s="7"/>
      <c r="J1462" s="273"/>
      <c r="K1462" s="273"/>
      <c r="L1462" s="273"/>
      <c r="M1462" s="273"/>
      <c r="N1462" s="273"/>
      <c r="O1462" s="273"/>
    </row>
    <row r="1463" spans="1:15" ht="15">
      <c r="A1463" s="21"/>
      <c r="B1463" s="801" t="s">
        <v>356</v>
      </c>
      <c r="C1463" s="918">
        <f>CEILING((C1462+45*$Z$2),0.1)</f>
        <v>225.10000000000002</v>
      </c>
      <c r="D1463" s="862"/>
      <c r="E1463" s="853"/>
      <c r="F1463" s="854"/>
      <c r="G1463" s="854"/>
      <c r="H1463" s="854"/>
      <c r="I1463" s="7"/>
      <c r="J1463" s="273"/>
      <c r="K1463" s="273"/>
      <c r="L1463" s="273"/>
      <c r="M1463" s="273"/>
      <c r="N1463" s="273"/>
      <c r="O1463" s="273"/>
    </row>
    <row r="1464" spans="1:15" ht="15">
      <c r="A1464" s="21"/>
      <c r="B1464" s="784" t="s">
        <v>345</v>
      </c>
      <c r="C1464" s="910">
        <f>CEILING(120*$Z$1,0.1)</f>
        <v>150</v>
      </c>
      <c r="D1464" s="8"/>
      <c r="E1464" s="537"/>
      <c r="F1464" s="538"/>
      <c r="G1464" s="538"/>
      <c r="H1464" s="538"/>
      <c r="I1464" s="7"/>
      <c r="J1464" s="273"/>
      <c r="K1464" s="273"/>
      <c r="L1464" s="273"/>
      <c r="M1464" s="273"/>
      <c r="N1464" s="273"/>
      <c r="O1464" s="273"/>
    </row>
    <row r="1465" spans="1:15" ht="15">
      <c r="A1465" s="21"/>
      <c r="B1465" s="784" t="s">
        <v>346</v>
      </c>
      <c r="C1465" s="909">
        <f>CEILING((C1464+45*$Z$2),0.1)</f>
        <v>206.3</v>
      </c>
      <c r="D1465" s="8"/>
      <c r="E1465" s="537"/>
      <c r="F1465" s="538"/>
      <c r="G1465" s="538"/>
      <c r="H1465" s="538"/>
      <c r="I1465" s="7"/>
      <c r="J1465" s="273"/>
      <c r="K1465" s="273"/>
      <c r="L1465" s="273"/>
      <c r="M1465" s="273"/>
      <c r="N1465" s="273"/>
      <c r="O1465" s="273"/>
    </row>
    <row r="1466" spans="1:15" ht="15">
      <c r="A1466" s="21"/>
      <c r="B1466" s="784" t="s">
        <v>9</v>
      </c>
      <c r="C1466" s="910">
        <f>CEILING((C1464*0.85),0.1)</f>
        <v>127.5</v>
      </c>
      <c r="D1466" s="8"/>
      <c r="E1466" s="537"/>
      <c r="F1466" s="538"/>
      <c r="G1466" s="538"/>
      <c r="H1466" s="538"/>
      <c r="I1466" s="7"/>
      <c r="J1466" s="273"/>
      <c r="K1466" s="273"/>
      <c r="L1466" s="273"/>
      <c r="M1466" s="273"/>
      <c r="N1466" s="273"/>
      <c r="O1466" s="273"/>
    </row>
    <row r="1467" spans="1:15" ht="15">
      <c r="A1467" s="309"/>
      <c r="B1467" s="292" t="s">
        <v>101</v>
      </c>
      <c r="C1467" s="910">
        <f>CEILING((C1464*0.5),0.1)</f>
        <v>75</v>
      </c>
      <c r="D1467" s="8"/>
      <c r="E1467" s="537"/>
      <c r="F1467" s="538"/>
      <c r="G1467" s="538"/>
      <c r="H1467" s="538"/>
      <c r="I1467" s="7"/>
      <c r="J1467" s="273"/>
      <c r="K1467" s="273"/>
      <c r="L1467" s="273"/>
      <c r="M1467" s="273"/>
      <c r="N1467" s="273"/>
      <c r="O1467" s="273"/>
    </row>
    <row r="1468" spans="1:15" ht="15">
      <c r="A1468" s="309"/>
      <c r="B1468" s="784" t="s">
        <v>347</v>
      </c>
      <c r="C1468" s="910">
        <f>CEILING(125*$Z$1,0.1)</f>
        <v>156.3</v>
      </c>
      <c r="D1468" s="8"/>
      <c r="E1468" s="537"/>
      <c r="F1468" s="538"/>
      <c r="G1468" s="538"/>
      <c r="H1468" s="538"/>
      <c r="I1468" s="7"/>
      <c r="J1468" s="273"/>
      <c r="K1468" s="273"/>
      <c r="L1468" s="273"/>
      <c r="M1468" s="273"/>
      <c r="N1468" s="273"/>
      <c r="O1468" s="273"/>
    </row>
    <row r="1469" spans="1:15" ht="15">
      <c r="A1469" s="309"/>
      <c r="B1469" s="784" t="s">
        <v>348</v>
      </c>
      <c r="C1469" s="909">
        <f>CEILING((C1468+45*$Z$2),0.1)</f>
        <v>212.60000000000002</v>
      </c>
      <c r="D1469" s="8"/>
      <c r="E1469" s="537"/>
      <c r="F1469" s="538"/>
      <c r="G1469" s="538"/>
      <c r="H1469" s="538"/>
      <c r="I1469" s="7"/>
      <c r="J1469" s="273"/>
      <c r="K1469" s="273"/>
      <c r="L1469" s="273"/>
      <c r="M1469" s="273"/>
      <c r="N1469" s="273"/>
      <c r="O1469" s="273"/>
    </row>
    <row r="1470" spans="1:15" ht="15">
      <c r="A1470" s="309"/>
      <c r="B1470" s="784" t="s">
        <v>9</v>
      </c>
      <c r="C1470" s="910">
        <f>CEILING((C1468*0.85),0.1)</f>
        <v>132.9</v>
      </c>
      <c r="D1470" s="8"/>
      <c r="E1470" s="537"/>
      <c r="F1470" s="538"/>
      <c r="G1470" s="538"/>
      <c r="H1470" s="538"/>
      <c r="I1470" s="7"/>
      <c r="J1470" s="273"/>
      <c r="K1470" s="273"/>
      <c r="L1470" s="273"/>
      <c r="M1470" s="273"/>
      <c r="N1470" s="273"/>
      <c r="O1470" s="273"/>
    </row>
    <row r="1471" spans="1:15" ht="15">
      <c r="A1471" s="309"/>
      <c r="B1471" s="292" t="s">
        <v>101</v>
      </c>
      <c r="C1471" s="910">
        <f>CEILING((C1468*0.5),0.1)</f>
        <v>78.2</v>
      </c>
      <c r="D1471" s="8"/>
      <c r="E1471" s="537"/>
      <c r="F1471" s="538"/>
      <c r="G1471" s="538"/>
      <c r="H1471" s="538"/>
      <c r="I1471" s="7"/>
      <c r="J1471" s="273"/>
      <c r="K1471" s="273"/>
      <c r="L1471" s="273"/>
      <c r="M1471" s="273"/>
      <c r="N1471" s="273"/>
      <c r="O1471" s="273"/>
    </row>
    <row r="1472" spans="1:15" ht="15">
      <c r="A1472" s="309"/>
      <c r="B1472" s="784" t="s">
        <v>351</v>
      </c>
      <c r="C1472" s="910">
        <f>CEILING(145*$Z$1,0.1)</f>
        <v>181.3</v>
      </c>
      <c r="D1472" s="8"/>
      <c r="E1472" s="537"/>
      <c r="F1472" s="538"/>
      <c r="G1472" s="538"/>
      <c r="H1472" s="538"/>
      <c r="I1472" s="7"/>
      <c r="J1472" s="273"/>
      <c r="K1472" s="273"/>
      <c r="L1472" s="273"/>
      <c r="M1472" s="300"/>
      <c r="N1472" s="300"/>
      <c r="O1472" s="300"/>
    </row>
    <row r="1473" spans="1:15" ht="15">
      <c r="A1473" s="309"/>
      <c r="B1473" s="784" t="s">
        <v>352</v>
      </c>
      <c r="C1473" s="909">
        <f>CEILING((C1472+45*$Z$2),0.1)</f>
        <v>237.60000000000002</v>
      </c>
      <c r="D1473" s="8"/>
      <c r="E1473" s="537"/>
      <c r="F1473" s="538"/>
      <c r="G1473" s="538"/>
      <c r="H1473" s="538"/>
      <c r="I1473" s="7"/>
      <c r="J1473" s="273"/>
      <c r="K1473" s="273"/>
      <c r="L1473" s="273"/>
      <c r="M1473" s="286"/>
      <c r="N1473" s="286"/>
      <c r="O1473" s="286"/>
    </row>
    <row r="1474" spans="1:15" ht="15">
      <c r="A1474" s="309"/>
      <c r="B1474" s="784" t="s">
        <v>353</v>
      </c>
      <c r="C1474" s="910">
        <f>CEILING(155*$Z$1,0.1)</f>
        <v>193.8</v>
      </c>
      <c r="D1474" s="8"/>
      <c r="E1474" s="537"/>
      <c r="F1474" s="538"/>
      <c r="G1474" s="538"/>
      <c r="H1474" s="538"/>
      <c r="I1474" s="7"/>
      <c r="J1474" s="273"/>
      <c r="K1474" s="273"/>
      <c r="L1474" s="273"/>
      <c r="M1474" s="286"/>
      <c r="N1474" s="286"/>
      <c r="O1474" s="286"/>
    </row>
    <row r="1475" spans="1:15" ht="15">
      <c r="A1475" s="309"/>
      <c r="B1475" s="784" t="s">
        <v>354</v>
      </c>
      <c r="C1475" s="909">
        <f>CEILING((C1474+45*$Z$2),0.1)</f>
        <v>250.10000000000002</v>
      </c>
      <c r="D1475" s="8"/>
      <c r="E1475" s="537"/>
      <c r="F1475" s="538"/>
      <c r="G1475" s="538"/>
      <c r="H1475" s="538"/>
      <c r="I1475" s="7"/>
      <c r="J1475" s="273"/>
      <c r="K1475" s="273"/>
      <c r="L1475" s="273"/>
      <c r="M1475" s="286"/>
      <c r="N1475" s="286"/>
      <c r="O1475" s="286"/>
    </row>
    <row r="1476" spans="1:15" ht="15">
      <c r="A1476" s="309"/>
      <c r="B1476" s="784" t="s">
        <v>357</v>
      </c>
      <c r="C1476" s="910">
        <f>CEILING(165*$Z$1,0.1)</f>
        <v>206.3</v>
      </c>
      <c r="D1476" s="8"/>
      <c r="E1476" s="537"/>
      <c r="F1476" s="538"/>
      <c r="G1476" s="538"/>
      <c r="H1476" s="538"/>
      <c r="I1476" s="7"/>
      <c r="J1476" s="273"/>
      <c r="K1476" s="273"/>
      <c r="L1476" s="273"/>
      <c r="M1476" s="273"/>
      <c r="N1476" s="273"/>
      <c r="O1476" s="273"/>
    </row>
    <row r="1477" spans="1:15" ht="15">
      <c r="A1477" s="309"/>
      <c r="B1477" s="784" t="s">
        <v>358</v>
      </c>
      <c r="C1477" s="909">
        <f>CEILING((C1476+45*$Z$2),0.1)</f>
        <v>262.6</v>
      </c>
      <c r="D1477" s="8"/>
      <c r="E1477" s="537"/>
      <c r="F1477" s="538"/>
      <c r="G1477" s="538"/>
      <c r="H1477" s="538"/>
      <c r="I1477" s="7"/>
      <c r="J1477" s="273"/>
      <c r="K1477" s="273"/>
      <c r="L1477" s="273"/>
      <c r="M1477" s="273"/>
      <c r="N1477" s="273"/>
      <c r="O1477" s="273"/>
    </row>
    <row r="1478" spans="1:15" ht="15">
      <c r="A1478" s="309"/>
      <c r="B1478" s="784" t="s">
        <v>359</v>
      </c>
      <c r="C1478" s="910">
        <f>CEILING(170*$Z$1,0.1)</f>
        <v>212.5</v>
      </c>
      <c r="D1478" s="8"/>
      <c r="E1478" s="537"/>
      <c r="F1478" s="538"/>
      <c r="G1478" s="538"/>
      <c r="H1478" s="538"/>
      <c r="I1478" s="7"/>
      <c r="J1478" s="273"/>
      <c r="K1478" s="273"/>
      <c r="L1478" s="273"/>
      <c r="M1478" s="300"/>
      <c r="N1478" s="300"/>
      <c r="O1478" s="300"/>
    </row>
    <row r="1479" spans="1:15" ht="15">
      <c r="A1479" s="309"/>
      <c r="B1479" s="784" t="s">
        <v>360</v>
      </c>
      <c r="C1479" s="909">
        <f>CEILING((C1478+45*$Z$2),0.1)</f>
        <v>268.8</v>
      </c>
      <c r="D1479" s="8"/>
      <c r="E1479" s="853"/>
      <c r="F1479" s="854"/>
      <c r="G1479" s="854"/>
      <c r="H1479" s="854"/>
      <c r="I1479" s="7"/>
      <c r="J1479" s="273"/>
      <c r="K1479" s="273"/>
      <c r="L1479" s="273"/>
      <c r="M1479" s="300"/>
      <c r="N1479" s="300"/>
      <c r="O1479" s="300"/>
    </row>
    <row r="1480" spans="1:15" ht="15" thickBot="1">
      <c r="A1480" s="193" t="s">
        <v>342</v>
      </c>
      <c r="B1480" s="784" t="s">
        <v>801</v>
      </c>
      <c r="C1480" s="841">
        <f>CEILING(1200*$Z$1,0.1)</f>
        <v>1500</v>
      </c>
      <c r="D1480" s="419"/>
      <c r="E1480" s="537"/>
      <c r="F1480" s="538"/>
      <c r="G1480" s="538"/>
      <c r="H1480" s="538"/>
      <c r="I1480" s="7"/>
      <c r="J1480" s="273"/>
      <c r="K1480" s="273"/>
      <c r="L1480" s="273"/>
      <c r="M1480" s="286"/>
      <c r="N1480" s="286"/>
      <c r="O1480" s="286"/>
    </row>
    <row r="1481" spans="1:15" ht="15" thickTop="1">
      <c r="A1481" s="1006" t="s">
        <v>802</v>
      </c>
      <c r="B1481" s="1006"/>
      <c r="C1481" s="1006"/>
      <c r="D1481" s="1006"/>
      <c r="E1481" s="1166"/>
      <c r="F1481" s="1166"/>
      <c r="G1481" s="1166"/>
      <c r="H1481" s="1166"/>
      <c r="I1481" s="1"/>
      <c r="J1481" s="273"/>
      <c r="K1481" s="273"/>
      <c r="L1481" s="273"/>
      <c r="M1481" s="286"/>
      <c r="N1481" s="286"/>
      <c r="O1481" s="286"/>
    </row>
    <row r="1482" spans="1:15" ht="14.25">
      <c r="A1482" s="3" t="s">
        <v>470</v>
      </c>
      <c r="B1482" s="58"/>
      <c r="C1482" s="58"/>
      <c r="D1482" s="58"/>
      <c r="E1482" s="58"/>
      <c r="F1482" s="58"/>
      <c r="G1482" s="58"/>
      <c r="H1482" s="58"/>
      <c r="I1482" s="1"/>
      <c r="J1482" s="273"/>
      <c r="K1482" s="273"/>
      <c r="L1482" s="273"/>
      <c r="M1482" s="286"/>
      <c r="N1482" s="286"/>
      <c r="O1482" s="286"/>
    </row>
    <row r="1483" spans="1:15" ht="15" thickBot="1">
      <c r="A1483" s="334"/>
      <c r="B1483" s="60"/>
      <c r="C1483" s="60"/>
      <c r="D1483" s="60"/>
      <c r="E1483" s="60"/>
      <c r="F1483" s="60"/>
      <c r="G1483" s="60"/>
      <c r="H1483" s="60"/>
      <c r="I1483" s="1"/>
      <c r="J1483" s="273"/>
      <c r="K1483" s="273"/>
      <c r="L1483" s="273"/>
      <c r="M1483" s="286"/>
      <c r="N1483" s="286"/>
      <c r="O1483" s="286"/>
    </row>
    <row r="1484" spans="1:15" ht="15.75" thickTop="1">
      <c r="A1484" s="1098" t="s">
        <v>4</v>
      </c>
      <c r="B1484" s="125"/>
      <c r="C1484" s="1043" t="s">
        <v>617</v>
      </c>
      <c r="D1484" s="1044"/>
      <c r="E1484" s="1043" t="s">
        <v>618</v>
      </c>
      <c r="F1484" s="1044"/>
      <c r="G1484" s="1043" t="s">
        <v>620</v>
      </c>
      <c r="H1484" s="1044"/>
      <c r="I1484" s="6"/>
      <c r="J1484" s="273"/>
      <c r="K1484" s="273"/>
      <c r="L1484" s="273"/>
      <c r="M1484" s="286"/>
      <c r="N1484" s="286"/>
      <c r="O1484" s="286"/>
    </row>
    <row r="1485" spans="1:15" ht="15">
      <c r="A1485" s="1079"/>
      <c r="B1485" s="133"/>
      <c r="C1485" s="778" t="s">
        <v>616</v>
      </c>
      <c r="D1485" s="778" t="s">
        <v>70</v>
      </c>
      <c r="E1485" s="778" t="s">
        <v>616</v>
      </c>
      <c r="F1485" s="778" t="s">
        <v>70</v>
      </c>
      <c r="G1485" s="778" t="s">
        <v>616</v>
      </c>
      <c r="H1485" s="778" t="s">
        <v>70</v>
      </c>
      <c r="I1485" s="6"/>
      <c r="J1485" s="273"/>
      <c r="K1485" s="273"/>
      <c r="L1485" s="273"/>
      <c r="M1485" s="286"/>
      <c r="N1485" s="286"/>
      <c r="O1485" s="286"/>
    </row>
    <row r="1486" spans="1:15" ht="15">
      <c r="A1486" s="91" t="s">
        <v>563</v>
      </c>
      <c r="B1486" s="394" t="s">
        <v>565</v>
      </c>
      <c r="C1486" s="751">
        <f>CEILING(165*$Z$2,0.1)</f>
        <v>206.3</v>
      </c>
      <c r="D1486" s="751">
        <f aca="true" t="shared" si="0" ref="D1486:D1500">CEILING((C1486+30*$Z$2),0.1)</f>
        <v>243.8</v>
      </c>
      <c r="E1486" s="788">
        <f>CEILING(140*$Z$2,0.1)</f>
        <v>175</v>
      </c>
      <c r="F1486" s="751">
        <f aca="true" t="shared" si="1" ref="F1486:F1500">CEILING((E1486+30*$Z$2),0.1)</f>
        <v>212.5</v>
      </c>
      <c r="G1486" s="751">
        <f>CEILING(165*$Z$2,0.1)</f>
        <v>206.3</v>
      </c>
      <c r="H1486" s="751">
        <f aca="true" t="shared" si="2" ref="H1486:H1500">CEILING((G1486+30*$Z$2),0.1)</f>
        <v>243.8</v>
      </c>
      <c r="I1486" s="6"/>
      <c r="J1486" s="273"/>
      <c r="K1486" s="273"/>
      <c r="L1486" s="273"/>
      <c r="M1486" s="286"/>
      <c r="N1486" s="286"/>
      <c r="O1486" s="286"/>
    </row>
    <row r="1487" spans="1:15" ht="15">
      <c r="A1487" s="15" t="s">
        <v>6</v>
      </c>
      <c r="B1487" s="317" t="s">
        <v>566</v>
      </c>
      <c r="C1487" s="751">
        <f>CEILING(330*$Z$2,0.1)</f>
        <v>412.5</v>
      </c>
      <c r="D1487" s="751">
        <f t="shared" si="0"/>
        <v>450</v>
      </c>
      <c r="E1487" s="751">
        <f>CEILING(280*$Z$2,0.1)</f>
        <v>350</v>
      </c>
      <c r="F1487" s="751">
        <f t="shared" si="1"/>
        <v>387.5</v>
      </c>
      <c r="G1487" s="751">
        <f>CEILING(330*$Z$2,0.1)</f>
        <v>412.5</v>
      </c>
      <c r="H1487" s="751">
        <f t="shared" si="2"/>
        <v>450</v>
      </c>
      <c r="I1487" s="6"/>
      <c r="J1487" s="273"/>
      <c r="K1487" s="273"/>
      <c r="L1487" s="273"/>
      <c r="M1487" s="286"/>
      <c r="N1487" s="286"/>
      <c r="O1487" s="286"/>
    </row>
    <row r="1488" spans="1:15" ht="15">
      <c r="A1488" s="21"/>
      <c r="B1488" s="317" t="s">
        <v>169</v>
      </c>
      <c r="C1488" s="751">
        <f>CEILING(175*$Z$2,0.1)</f>
        <v>218.8</v>
      </c>
      <c r="D1488" s="751">
        <f t="shared" si="0"/>
        <v>256.3</v>
      </c>
      <c r="E1488" s="751">
        <f>CEILING(150*$Z$2,0.1)</f>
        <v>187.5</v>
      </c>
      <c r="F1488" s="751">
        <f t="shared" si="1"/>
        <v>225</v>
      </c>
      <c r="G1488" s="751">
        <f>CEILING(175*$Z$2,0.1)</f>
        <v>218.8</v>
      </c>
      <c r="H1488" s="751">
        <f t="shared" si="2"/>
        <v>256.3</v>
      </c>
      <c r="I1488" s="6"/>
      <c r="J1488" s="273"/>
      <c r="K1488" s="273"/>
      <c r="L1488" s="273"/>
      <c r="M1488" s="286"/>
      <c r="N1488" s="286"/>
      <c r="O1488" s="286"/>
    </row>
    <row r="1489" spans="1:15" ht="15">
      <c r="A1489" s="21"/>
      <c r="B1489" s="317" t="s">
        <v>170</v>
      </c>
      <c r="C1489" s="751">
        <f>CEILING(350*$Z$2,0.1)</f>
        <v>437.5</v>
      </c>
      <c r="D1489" s="751">
        <f t="shared" si="0"/>
        <v>475</v>
      </c>
      <c r="E1489" s="751">
        <f>CEILING(300*$Z$2,0.1)</f>
        <v>375</v>
      </c>
      <c r="F1489" s="751">
        <f t="shared" si="1"/>
        <v>412.5</v>
      </c>
      <c r="G1489" s="751">
        <f>CEILING(350*$Z$2,0.1)</f>
        <v>437.5</v>
      </c>
      <c r="H1489" s="751">
        <f t="shared" si="2"/>
        <v>475</v>
      </c>
      <c r="I1489" s="6"/>
      <c r="J1489" s="273"/>
      <c r="K1489" s="273"/>
      <c r="L1489" s="273"/>
      <c r="M1489" s="286"/>
      <c r="N1489" s="286"/>
      <c r="O1489" s="286"/>
    </row>
    <row r="1490" spans="1:15" ht="15">
      <c r="A1490" s="705" t="s">
        <v>564</v>
      </c>
      <c r="B1490" s="317" t="s">
        <v>567</v>
      </c>
      <c r="C1490" s="751">
        <f>CEILING(190*$Z$2,0.1)</f>
        <v>237.5</v>
      </c>
      <c r="D1490" s="751">
        <f t="shared" si="0"/>
        <v>275</v>
      </c>
      <c r="E1490" s="751">
        <f>CEILING(165*$Z$2,0.1)</f>
        <v>206.3</v>
      </c>
      <c r="F1490" s="751">
        <f t="shared" si="1"/>
        <v>243.8</v>
      </c>
      <c r="G1490" s="751">
        <f>CEILING(190*$Z$2,0.1)</f>
        <v>237.5</v>
      </c>
      <c r="H1490" s="751">
        <f t="shared" si="2"/>
        <v>275</v>
      </c>
      <c r="I1490" s="6"/>
      <c r="J1490" s="273"/>
      <c r="K1490" s="273"/>
      <c r="L1490" s="273"/>
      <c r="M1490" s="286"/>
      <c r="N1490" s="286"/>
      <c r="O1490" s="286"/>
    </row>
    <row r="1491" spans="1:15" ht="15">
      <c r="A1491" s="21"/>
      <c r="B1491" s="317" t="s">
        <v>568</v>
      </c>
      <c r="C1491" s="751">
        <f>CEILING(380*$Z$2,0.1)</f>
        <v>475</v>
      </c>
      <c r="D1491" s="751">
        <f t="shared" si="0"/>
        <v>512.5</v>
      </c>
      <c r="E1491" s="751">
        <f>CEILING(330*$Z$2,0.1)</f>
        <v>412.5</v>
      </c>
      <c r="F1491" s="751">
        <f t="shared" si="1"/>
        <v>450</v>
      </c>
      <c r="G1491" s="751">
        <f>CEILING(380*$Z$2,0.1)</f>
        <v>475</v>
      </c>
      <c r="H1491" s="751">
        <f t="shared" si="2"/>
        <v>512.5</v>
      </c>
      <c r="I1491" s="6"/>
      <c r="J1491" s="273"/>
      <c r="K1491" s="273"/>
      <c r="L1491" s="273"/>
      <c r="M1491" s="286"/>
      <c r="N1491" s="286"/>
      <c r="O1491" s="286"/>
    </row>
    <row r="1492" spans="1:15" ht="15">
      <c r="A1492" s="21"/>
      <c r="B1492" s="317" t="s">
        <v>571</v>
      </c>
      <c r="C1492" s="751">
        <f>CEILING(200*$Z$2,0.1)</f>
        <v>250</v>
      </c>
      <c r="D1492" s="751">
        <f t="shared" si="0"/>
        <v>287.5</v>
      </c>
      <c r="E1492" s="751">
        <f>CEILING(175*$Z$2,0.1)</f>
        <v>218.8</v>
      </c>
      <c r="F1492" s="751">
        <f t="shared" si="1"/>
        <v>256.3</v>
      </c>
      <c r="G1492" s="751">
        <f>CEILING(200*$Z$2,0.1)</f>
        <v>250</v>
      </c>
      <c r="H1492" s="751">
        <f t="shared" si="2"/>
        <v>287.5</v>
      </c>
      <c r="I1492" s="6"/>
      <c r="J1492" s="273"/>
      <c r="K1492" s="273"/>
      <c r="L1492" s="273"/>
      <c r="M1492" s="286"/>
      <c r="N1492" s="286"/>
      <c r="O1492" s="286"/>
    </row>
    <row r="1493" spans="1:15" ht="15">
      <c r="A1493" s="21"/>
      <c r="B1493" s="317" t="s">
        <v>572</v>
      </c>
      <c r="C1493" s="751">
        <f>CEILING(400*$Z$2,0.1)</f>
        <v>500</v>
      </c>
      <c r="D1493" s="751">
        <f t="shared" si="0"/>
        <v>537.5</v>
      </c>
      <c r="E1493" s="751">
        <f>CEILING(350*$Z$2,0.1)</f>
        <v>437.5</v>
      </c>
      <c r="F1493" s="751">
        <f t="shared" si="1"/>
        <v>475</v>
      </c>
      <c r="G1493" s="751">
        <f>CEILING(400*$Z$2,0.1)</f>
        <v>500</v>
      </c>
      <c r="H1493" s="751">
        <f t="shared" si="2"/>
        <v>537.5</v>
      </c>
      <c r="I1493" s="6"/>
      <c r="J1493" s="273"/>
      <c r="K1493" s="273"/>
      <c r="L1493" s="273"/>
      <c r="M1493" s="286"/>
      <c r="N1493" s="286"/>
      <c r="O1493" s="286"/>
    </row>
    <row r="1494" spans="1:15" ht="15">
      <c r="A1494" s="21"/>
      <c r="B1494" s="317" t="s">
        <v>573</v>
      </c>
      <c r="C1494" s="751">
        <f>CEILING(232.5*$Z$2,0.1)</f>
        <v>290.7</v>
      </c>
      <c r="D1494" s="751">
        <f t="shared" si="0"/>
        <v>328.20000000000005</v>
      </c>
      <c r="E1494" s="751">
        <f>CEILING(205*$Z$2,0.1)</f>
        <v>256.3</v>
      </c>
      <c r="F1494" s="751">
        <f t="shared" si="1"/>
        <v>293.8</v>
      </c>
      <c r="G1494" s="751">
        <f>CEILING(232.5*$Z$2,0.1)</f>
        <v>290.7</v>
      </c>
      <c r="H1494" s="751">
        <f t="shared" si="2"/>
        <v>328.20000000000005</v>
      </c>
      <c r="I1494" s="6"/>
      <c r="J1494" s="273"/>
      <c r="K1494" s="273"/>
      <c r="L1494" s="273"/>
      <c r="M1494" s="286"/>
      <c r="N1494" s="286"/>
      <c r="O1494" s="286"/>
    </row>
    <row r="1495" spans="1:15" ht="15">
      <c r="A1495" s="21"/>
      <c r="B1495" s="317" t="s">
        <v>573</v>
      </c>
      <c r="C1495" s="751">
        <f>CEILING(465*$Z$2,0.1)</f>
        <v>581.3000000000001</v>
      </c>
      <c r="D1495" s="751">
        <f t="shared" si="0"/>
        <v>618.8000000000001</v>
      </c>
      <c r="E1495" s="751">
        <f>CEILING(410*$Z$2,0.1)</f>
        <v>512.5</v>
      </c>
      <c r="F1495" s="751">
        <f t="shared" si="1"/>
        <v>550</v>
      </c>
      <c r="G1495" s="751">
        <f>CEILING(465*$Z$2,0.1)</f>
        <v>581.3000000000001</v>
      </c>
      <c r="H1495" s="751">
        <f t="shared" si="2"/>
        <v>618.8000000000001</v>
      </c>
      <c r="I1495" s="6"/>
      <c r="J1495" s="273"/>
      <c r="K1495" s="273"/>
      <c r="L1495" s="273"/>
      <c r="M1495" s="286"/>
      <c r="N1495" s="286"/>
      <c r="O1495" s="286"/>
    </row>
    <row r="1496" spans="1:15" ht="15">
      <c r="A1496" s="21"/>
      <c r="B1496" s="317" t="s">
        <v>619</v>
      </c>
      <c r="C1496" s="751">
        <f>CEILING(250*$Z$2,0.1)</f>
        <v>312.5</v>
      </c>
      <c r="D1496" s="751">
        <f t="shared" si="0"/>
        <v>350</v>
      </c>
      <c r="E1496" s="751">
        <f>CEILING(225*$Z$2,0.1)</f>
        <v>281.3</v>
      </c>
      <c r="F1496" s="751">
        <f t="shared" si="1"/>
        <v>318.8</v>
      </c>
      <c r="G1496" s="751">
        <f>CEILING(250*$Z$2,0.1)</f>
        <v>312.5</v>
      </c>
      <c r="H1496" s="751">
        <f t="shared" si="2"/>
        <v>350</v>
      </c>
      <c r="I1496" s="6"/>
      <c r="J1496" s="273"/>
      <c r="K1496" s="273"/>
      <c r="L1496" s="273"/>
      <c r="M1496" s="286"/>
      <c r="N1496" s="286"/>
      <c r="O1496" s="286"/>
    </row>
    <row r="1497" spans="1:15" ht="15">
      <c r="A1497" s="21"/>
      <c r="B1497" s="317" t="s">
        <v>574</v>
      </c>
      <c r="C1497" s="751">
        <f>CEILING(262.5*$Z$2,0.1)</f>
        <v>328.20000000000005</v>
      </c>
      <c r="D1497" s="751">
        <f t="shared" si="0"/>
        <v>365.70000000000005</v>
      </c>
      <c r="E1497" s="751">
        <f>CEILING(237.5*$Z$2,0.1)</f>
        <v>296.90000000000003</v>
      </c>
      <c r="F1497" s="751">
        <f t="shared" si="1"/>
        <v>334.40000000000003</v>
      </c>
      <c r="G1497" s="751">
        <f>CEILING(262.5*$Z$2,0.1)</f>
        <v>328.20000000000005</v>
      </c>
      <c r="H1497" s="751">
        <f t="shared" si="2"/>
        <v>365.70000000000005</v>
      </c>
      <c r="I1497" s="6"/>
      <c r="J1497" s="273"/>
      <c r="K1497" s="273"/>
      <c r="L1497" s="273"/>
      <c r="M1497" s="286"/>
      <c r="N1497" s="286"/>
      <c r="O1497" s="286"/>
    </row>
    <row r="1498" spans="1:15" ht="15">
      <c r="A1498" s="21"/>
      <c r="B1498" s="164" t="s">
        <v>575</v>
      </c>
      <c r="C1498" s="751">
        <f>CEILING(525*$Z$2,0.1)</f>
        <v>656.3000000000001</v>
      </c>
      <c r="D1498" s="751">
        <f t="shared" si="0"/>
        <v>693.8000000000001</v>
      </c>
      <c r="E1498" s="751">
        <f>CEILING(475*$Z$2,0.1)</f>
        <v>593.8000000000001</v>
      </c>
      <c r="F1498" s="751">
        <f t="shared" si="1"/>
        <v>631.3000000000001</v>
      </c>
      <c r="G1498" s="751">
        <f>CEILING(525*$Z$2,0.1)</f>
        <v>656.3000000000001</v>
      </c>
      <c r="H1498" s="751">
        <f t="shared" si="2"/>
        <v>693.8000000000001</v>
      </c>
      <c r="I1498" s="6"/>
      <c r="J1498" s="273"/>
      <c r="K1498" s="273"/>
      <c r="L1498" s="273"/>
      <c r="M1498" s="286"/>
      <c r="N1498" s="286"/>
      <c r="O1498" s="286"/>
    </row>
    <row r="1499" spans="1:15" ht="15">
      <c r="A1499" s="21"/>
      <c r="B1499" s="317" t="s">
        <v>576</v>
      </c>
      <c r="C1499" s="751">
        <f>CEILING(505*$Z$2,0.1)</f>
        <v>631.3000000000001</v>
      </c>
      <c r="D1499" s="751">
        <f t="shared" si="0"/>
        <v>668.8000000000001</v>
      </c>
      <c r="E1499" s="751">
        <f>CEILING(480*$Z$2,0.1)</f>
        <v>600</v>
      </c>
      <c r="F1499" s="751">
        <f t="shared" si="1"/>
        <v>637.5</v>
      </c>
      <c r="G1499" s="751">
        <f>CEILING(505*$Z$2,0.1)</f>
        <v>631.3000000000001</v>
      </c>
      <c r="H1499" s="751">
        <f t="shared" si="2"/>
        <v>668.8000000000001</v>
      </c>
      <c r="I1499" s="6"/>
      <c r="J1499" s="273"/>
      <c r="K1499" s="273"/>
      <c r="L1499" s="273"/>
      <c r="M1499" s="286"/>
      <c r="N1499" s="286"/>
      <c r="O1499" s="286"/>
    </row>
    <row r="1500" spans="1:15" ht="15">
      <c r="A1500" s="21"/>
      <c r="B1500" s="317" t="s">
        <v>577</v>
      </c>
      <c r="C1500" s="751">
        <f>CEILING(1010*$Z$2,0.1)</f>
        <v>1262.5</v>
      </c>
      <c r="D1500" s="751">
        <f t="shared" si="0"/>
        <v>1300</v>
      </c>
      <c r="E1500" s="751">
        <f>CEILING(960*$Z$2,0.1)</f>
        <v>1200</v>
      </c>
      <c r="F1500" s="751">
        <f t="shared" si="1"/>
        <v>1237.5</v>
      </c>
      <c r="G1500" s="751">
        <f>CEILING(1010*$Z$2,0.1)</f>
        <v>1262.5</v>
      </c>
      <c r="H1500" s="751">
        <f t="shared" si="2"/>
        <v>1300</v>
      </c>
      <c r="I1500" s="6"/>
      <c r="J1500" s="273"/>
      <c r="K1500" s="273"/>
      <c r="L1500" s="273"/>
      <c r="M1500" s="286"/>
      <c r="N1500" s="286"/>
      <c r="O1500" s="286"/>
    </row>
    <row r="1501" spans="1:15" ht="15">
      <c r="A1501" s="21"/>
      <c r="B1501" s="164" t="s">
        <v>569</v>
      </c>
      <c r="C1501" s="751">
        <v>0</v>
      </c>
      <c r="D1501" s="751">
        <v>0</v>
      </c>
      <c r="E1501" s="751">
        <v>0</v>
      </c>
      <c r="F1501" s="751">
        <v>0</v>
      </c>
      <c r="G1501" s="751">
        <v>0</v>
      </c>
      <c r="H1501" s="751">
        <v>0</v>
      </c>
      <c r="I1501" s="6"/>
      <c r="J1501" s="273"/>
      <c r="K1501" s="273"/>
      <c r="L1501" s="273"/>
      <c r="M1501" s="286"/>
      <c r="N1501" s="286"/>
      <c r="O1501" s="286"/>
    </row>
    <row r="1502" spans="1:15" ht="15">
      <c r="A1502" s="21"/>
      <c r="B1502" s="164" t="s">
        <v>570</v>
      </c>
      <c r="C1502" s="751">
        <f>CEILING(45*$Z$2,0.1)</f>
        <v>56.300000000000004</v>
      </c>
      <c r="D1502" s="751">
        <f>CEILING((C1502+15*$Z$2),0.1)</f>
        <v>75.10000000000001</v>
      </c>
      <c r="E1502" s="751">
        <f>CEILING(45*$Z$2,0.1)</f>
        <v>56.300000000000004</v>
      </c>
      <c r="F1502" s="751">
        <f>CEILING((E1502+15*$Z$2),0.1)</f>
        <v>75.10000000000001</v>
      </c>
      <c r="G1502" s="751">
        <f>CEILING(45*$Z$2,0.1)</f>
        <v>56.300000000000004</v>
      </c>
      <c r="H1502" s="751">
        <f>CEILING((G1502+15*$Z$2),0.1)</f>
        <v>75.10000000000001</v>
      </c>
      <c r="I1502" s="6"/>
      <c r="J1502" s="273"/>
      <c r="K1502" s="273"/>
      <c r="L1502" s="273"/>
      <c r="M1502" s="286"/>
      <c r="N1502" s="286"/>
      <c r="O1502" s="286"/>
    </row>
    <row r="1503" spans="1:15" ht="15" thickBot="1">
      <c r="A1503" s="63" t="s">
        <v>580</v>
      </c>
      <c r="B1503" s="706" t="s">
        <v>69</v>
      </c>
      <c r="C1503" s="779">
        <f>CEILING(90*$Z$2,0.1)</f>
        <v>112.5</v>
      </c>
      <c r="D1503" s="758">
        <f>CEILING((C1503+30*$Z$2),0.1)</f>
        <v>150</v>
      </c>
      <c r="E1503" s="779">
        <f>CEILING(90*$Z$2,0.1)</f>
        <v>112.5</v>
      </c>
      <c r="F1503" s="758">
        <f>CEILING((E1503+30*$Z$2),0.1)</f>
        <v>150</v>
      </c>
      <c r="G1503" s="779">
        <f>CEILING(90*$Z$2,0.1)</f>
        <v>112.5</v>
      </c>
      <c r="H1503" s="758">
        <f>CEILING((G1503+30*$Z$2),0.1)</f>
        <v>150</v>
      </c>
      <c r="I1503" s="6"/>
      <c r="J1503" s="273"/>
      <c r="K1503" s="273"/>
      <c r="L1503" s="273"/>
      <c r="M1503" s="286"/>
      <c r="N1503" s="286"/>
      <c r="O1503" s="286"/>
    </row>
    <row r="1504" spans="1:15" ht="15" thickTop="1">
      <c r="A1504" s="1046" t="s">
        <v>579</v>
      </c>
      <c r="B1504" s="1046"/>
      <c r="C1504" s="1046"/>
      <c r="D1504" s="1046"/>
      <c r="E1504" s="1046"/>
      <c r="F1504" s="1046"/>
      <c r="G1504" s="1047"/>
      <c r="H1504" s="1047"/>
      <c r="I1504" s="1"/>
      <c r="J1504" s="273"/>
      <c r="K1504" s="273"/>
      <c r="L1504" s="273"/>
      <c r="M1504" s="286"/>
      <c r="N1504" s="286"/>
      <c r="O1504" s="286"/>
    </row>
    <row r="1505" spans="1:15" ht="14.25">
      <c r="A1505" s="3" t="s">
        <v>578</v>
      </c>
      <c r="B1505" s="58"/>
      <c r="C1505" s="58"/>
      <c r="D1505" s="58"/>
      <c r="E1505" s="58"/>
      <c r="F1505" s="58"/>
      <c r="G1505" s="58"/>
      <c r="H1505" s="58"/>
      <c r="I1505" s="1"/>
      <c r="J1505" s="273"/>
      <c r="K1505" s="273"/>
      <c r="L1505" s="273"/>
      <c r="M1505" s="286"/>
      <c r="N1505" s="286"/>
      <c r="O1505" s="286"/>
    </row>
    <row r="1506" spans="1:15" ht="14.25" customHeight="1" thickBot="1">
      <c r="A1506" s="70"/>
      <c r="B1506" s="71"/>
      <c r="C1506" s="35"/>
      <c r="D1506" s="35"/>
      <c r="E1506" s="17"/>
      <c r="F1506" s="17"/>
      <c r="G1506" s="17"/>
      <c r="H1506" s="17"/>
      <c r="I1506" s="1"/>
      <c r="J1506" s="273"/>
      <c r="K1506" s="273"/>
      <c r="L1506" s="273"/>
      <c r="M1506" s="286"/>
      <c r="N1506" s="286"/>
      <c r="O1506" s="286"/>
    </row>
    <row r="1507" spans="1:15" ht="15.75" thickTop="1">
      <c r="A1507" s="1102" t="s">
        <v>4</v>
      </c>
      <c r="B1507" s="125"/>
      <c r="C1507" s="1043" t="s">
        <v>625</v>
      </c>
      <c r="D1507" s="1044"/>
      <c r="E1507" s="1041"/>
      <c r="F1507" s="1042"/>
      <c r="G1507" s="1042"/>
      <c r="H1507" s="1042"/>
      <c r="I1507" s="1029"/>
      <c r="J1507" s="1029"/>
      <c r="K1507" s="273"/>
      <c r="L1507" s="273"/>
      <c r="M1507" s="286"/>
      <c r="N1507" s="286"/>
      <c r="O1507" s="286"/>
    </row>
    <row r="1508" spans="1:15" ht="15">
      <c r="A1508" s="1103"/>
      <c r="B1508" s="125"/>
      <c r="C1508" s="82" t="s">
        <v>70</v>
      </c>
      <c r="D1508" s="83"/>
      <c r="E1508" s="487"/>
      <c r="F1508" s="486"/>
      <c r="G1508" s="486"/>
      <c r="H1508" s="486"/>
      <c r="I1508" s="486"/>
      <c r="J1508" s="486"/>
      <c r="K1508" s="273"/>
      <c r="L1508" s="273"/>
      <c r="M1508" s="273"/>
      <c r="N1508" s="273"/>
      <c r="O1508" s="273"/>
    </row>
    <row r="1509" spans="1:15" ht="15">
      <c r="A1509" s="18" t="s">
        <v>64</v>
      </c>
      <c r="B1509" s="191" t="s">
        <v>11</v>
      </c>
      <c r="C1509" s="751">
        <f>CEILING(85*$Z$2,0.1)</f>
        <v>106.30000000000001</v>
      </c>
      <c r="D1509" s="715"/>
      <c r="E1509" s="603"/>
      <c r="F1509" s="604"/>
      <c r="G1509" s="604"/>
      <c r="H1509" s="604"/>
      <c r="I1509" s="604"/>
      <c r="J1509" s="604"/>
      <c r="K1509" s="273"/>
      <c r="L1509" s="273"/>
      <c r="M1509" s="273"/>
      <c r="N1509" s="273"/>
      <c r="O1509" s="273"/>
    </row>
    <row r="1510" spans="1:15" ht="15">
      <c r="A1510" s="200" t="s">
        <v>183</v>
      </c>
      <c r="B1510" s="22" t="s">
        <v>7</v>
      </c>
      <c r="C1510" s="751">
        <f>CEILING(138*$Z$2,0.1)</f>
        <v>172.5</v>
      </c>
      <c r="D1510" s="716"/>
      <c r="E1510" s="603"/>
      <c r="F1510" s="604"/>
      <c r="G1510" s="604"/>
      <c r="H1510" s="604"/>
      <c r="I1510" s="604"/>
      <c r="J1510" s="604"/>
      <c r="K1510" s="273"/>
      <c r="L1510" s="273"/>
      <c r="M1510" s="273"/>
      <c r="N1510" s="273"/>
      <c r="O1510" s="273"/>
    </row>
    <row r="1511" spans="1:15" ht="15">
      <c r="A1511" s="21" t="s">
        <v>6</v>
      </c>
      <c r="B1511" s="253" t="s">
        <v>69</v>
      </c>
      <c r="C1511" s="751">
        <f>CEILING((C1509*0.85),0.1)</f>
        <v>90.4</v>
      </c>
      <c r="D1511" s="716"/>
      <c r="E1511" s="603"/>
      <c r="F1511" s="604"/>
      <c r="G1511" s="604"/>
      <c r="H1511" s="604"/>
      <c r="I1511" s="604"/>
      <c r="J1511" s="604"/>
      <c r="K1511" s="273"/>
      <c r="L1511" s="273"/>
      <c r="M1511" s="273"/>
      <c r="N1511" s="273"/>
      <c r="O1511" s="273"/>
    </row>
    <row r="1512" spans="1:15" ht="14.25">
      <c r="A1512" s="782" t="s">
        <v>626</v>
      </c>
      <c r="B1512" s="253" t="s">
        <v>101</v>
      </c>
      <c r="C1512" s="751">
        <f>CEILING((C1509*0.5),0.1)</f>
        <v>53.2</v>
      </c>
      <c r="D1512" s="716"/>
      <c r="E1512" s="603"/>
      <c r="F1512" s="604"/>
      <c r="G1512" s="604"/>
      <c r="H1512" s="604"/>
      <c r="I1512" s="604"/>
      <c r="J1512" s="604"/>
      <c r="K1512" s="273"/>
      <c r="L1512" s="273"/>
      <c r="M1512" s="273"/>
      <c r="N1512" s="273"/>
      <c r="O1512" s="273"/>
    </row>
    <row r="1513" spans="1:15" ht="14.25">
      <c r="A1513" s="712"/>
      <c r="B1513" s="249" t="s">
        <v>13</v>
      </c>
      <c r="C1513" s="751">
        <f>CEILING(107*$Z$2,0.1)</f>
        <v>133.8</v>
      </c>
      <c r="D1513" s="716"/>
      <c r="E1513" s="603"/>
      <c r="F1513" s="604"/>
      <c r="G1513" s="604"/>
      <c r="H1513" s="604"/>
      <c r="I1513" s="604"/>
      <c r="J1513" s="604"/>
      <c r="K1513" s="273"/>
      <c r="L1513" s="273"/>
      <c r="M1513" s="273"/>
      <c r="N1513" s="273"/>
      <c r="O1513" s="273"/>
    </row>
    <row r="1514" spans="1:15" ht="15">
      <c r="A1514" s="21"/>
      <c r="B1514" s="249" t="s">
        <v>62</v>
      </c>
      <c r="C1514" s="751">
        <f>CEILING(159*$Z$2,0.1)</f>
        <v>198.8</v>
      </c>
      <c r="D1514" s="716"/>
      <c r="E1514" s="603"/>
      <c r="F1514" s="604"/>
      <c r="G1514" s="604"/>
      <c r="H1514" s="604"/>
      <c r="I1514" s="604"/>
      <c r="J1514" s="604"/>
      <c r="K1514" s="273"/>
      <c r="L1514" s="273"/>
      <c r="M1514" s="273"/>
      <c r="N1514" s="273"/>
      <c r="O1514" s="273"/>
    </row>
    <row r="1515" spans="1:15" ht="15">
      <c r="A1515" s="21"/>
      <c r="B1515" s="249" t="s">
        <v>10</v>
      </c>
      <c r="C1515" s="781">
        <f>CEILING(124*$Z$2,0.1)</f>
        <v>155</v>
      </c>
      <c r="D1515" s="716"/>
      <c r="E1515" s="603"/>
      <c r="F1515" s="604"/>
      <c r="G1515" s="604"/>
      <c r="H1515" s="604"/>
      <c r="I1515" s="604"/>
      <c r="J1515" s="604"/>
      <c r="K1515" s="273"/>
      <c r="L1515" s="273"/>
      <c r="M1515" s="273"/>
      <c r="N1515" s="273"/>
      <c r="O1515" s="273"/>
    </row>
    <row r="1516" spans="1:15" ht="15" thickBot="1">
      <c r="A1516" s="97" t="s">
        <v>627</v>
      </c>
      <c r="B1516" s="250" t="s">
        <v>15</v>
      </c>
      <c r="C1516" s="779">
        <f>CEILING(177*$Z$2,0.1)</f>
        <v>221.3</v>
      </c>
      <c r="D1516" s="717"/>
      <c r="E1516" s="603"/>
      <c r="F1516" s="604"/>
      <c r="G1516" s="604"/>
      <c r="H1516" s="604"/>
      <c r="I1516" s="604"/>
      <c r="J1516" s="604"/>
      <c r="K1516" s="273"/>
      <c r="L1516" s="273"/>
      <c r="M1516" s="273"/>
      <c r="N1516" s="273"/>
      <c r="O1516" s="273"/>
    </row>
    <row r="1517" spans="1:15" ht="5.25" customHeight="1" thickTop="1">
      <c r="A1517" s="1169"/>
      <c r="B1517" s="1169"/>
      <c r="C1517" s="1169"/>
      <c r="D1517" s="1169"/>
      <c r="E1517" s="1170"/>
      <c r="F1517" s="1170"/>
      <c r="G1517" s="1170"/>
      <c r="H1517" s="1170"/>
      <c r="I1517" s="1"/>
      <c r="J1517" s="273"/>
      <c r="K1517" s="273"/>
      <c r="L1517" s="273"/>
      <c r="M1517" s="273"/>
      <c r="N1517" s="273"/>
      <c r="O1517" s="273"/>
    </row>
    <row r="1518" spans="1:15" ht="20.25" customHeight="1" thickBot="1">
      <c r="A1518" s="71"/>
      <c r="B1518" s="71"/>
      <c r="C1518" s="71"/>
      <c r="D1518" s="71"/>
      <c r="E1518" s="7"/>
      <c r="F1518" s="7"/>
      <c r="G1518" s="7"/>
      <c r="H1518" s="7"/>
      <c r="I1518" s="1"/>
      <c r="J1518" s="273"/>
      <c r="K1518" s="273"/>
      <c r="L1518" s="273"/>
      <c r="M1518" s="273"/>
      <c r="N1518" s="273"/>
      <c r="O1518" s="273"/>
    </row>
    <row r="1519" spans="1:15" ht="15.75" thickTop="1">
      <c r="A1519" s="1098" t="s">
        <v>4</v>
      </c>
      <c r="B1519" s="81"/>
      <c r="C1519" s="1026" t="s">
        <v>625</v>
      </c>
      <c r="D1519" s="1034"/>
      <c r="E1519" s="1028"/>
      <c r="F1519" s="1029"/>
      <c r="G1519" s="1029"/>
      <c r="H1519" s="1029"/>
      <c r="I1519" s="29"/>
      <c r="J1519" s="300"/>
      <c r="K1519" s="300"/>
      <c r="L1519" s="300"/>
      <c r="M1519" s="273"/>
      <c r="N1519" s="273"/>
      <c r="O1519" s="273"/>
    </row>
    <row r="1520" spans="1:15" ht="14.25">
      <c r="A1520" s="1079"/>
      <c r="B1520" s="87"/>
      <c r="C1520" s="82" t="s">
        <v>70</v>
      </c>
      <c r="D1520" s="83"/>
      <c r="E1520" s="487"/>
      <c r="F1520" s="486"/>
      <c r="G1520" s="486"/>
      <c r="H1520" s="486"/>
      <c r="I1520" s="7"/>
      <c r="J1520" s="286"/>
      <c r="K1520" s="286"/>
      <c r="L1520" s="286"/>
      <c r="M1520" s="273"/>
      <c r="N1520" s="273"/>
      <c r="O1520" s="273"/>
    </row>
    <row r="1521" spans="1:15" ht="15">
      <c r="A1521" s="18" t="s">
        <v>38</v>
      </c>
      <c r="B1521" s="139" t="s">
        <v>11</v>
      </c>
      <c r="C1521" s="916">
        <f>CEILING(38*$Z$2,0.1)</f>
        <v>47.5</v>
      </c>
      <c r="D1521" s="485"/>
      <c r="E1521" s="923"/>
      <c r="F1521" s="924"/>
      <c r="G1521" s="924"/>
      <c r="H1521" s="604"/>
      <c r="I1521" s="7"/>
      <c r="J1521" s="286"/>
      <c r="K1521" s="286"/>
      <c r="L1521" s="286"/>
      <c r="M1521" s="273"/>
      <c r="N1521" s="273"/>
      <c r="O1521" s="273"/>
    </row>
    <row r="1522" spans="1:15" ht="16.5" customHeight="1">
      <c r="A1522" s="21" t="s">
        <v>18</v>
      </c>
      <c r="B1522" s="139" t="s">
        <v>7</v>
      </c>
      <c r="C1522" s="916">
        <f>CEILING(67*$Z$2,0.1)</f>
        <v>83.80000000000001</v>
      </c>
      <c r="D1522" s="8"/>
      <c r="E1522" s="923"/>
      <c r="F1522" s="924"/>
      <c r="G1522" s="924"/>
      <c r="H1522" s="604"/>
      <c r="I1522" s="7"/>
      <c r="J1522" s="286"/>
      <c r="K1522" s="286"/>
      <c r="L1522" s="286"/>
      <c r="M1522" s="273"/>
      <c r="N1522" s="273"/>
      <c r="O1522" s="273"/>
    </row>
    <row r="1523" spans="1:15" ht="15" customHeight="1">
      <c r="A1523" s="515" t="s">
        <v>916</v>
      </c>
      <c r="B1523" s="251" t="s">
        <v>69</v>
      </c>
      <c r="C1523" s="916">
        <f>CEILING((C1521*0.85),0.1)</f>
        <v>40.400000000000006</v>
      </c>
      <c r="D1523" s="8"/>
      <c r="E1523" s="923"/>
      <c r="F1523" s="924"/>
      <c r="G1523" s="924"/>
      <c r="H1523" s="604"/>
      <c r="I1523" s="7"/>
      <c r="J1523" s="286"/>
      <c r="K1523" s="286"/>
      <c r="L1523" s="286"/>
      <c r="M1523" s="273"/>
      <c r="N1523" s="273"/>
      <c r="O1523" s="273"/>
    </row>
    <row r="1524" spans="1:15" ht="18" customHeight="1" thickBot="1">
      <c r="A1524" s="63" t="s">
        <v>365</v>
      </c>
      <c r="B1524" s="310" t="s">
        <v>101</v>
      </c>
      <c r="C1524" s="917">
        <f>CEILING((C1521*0.5),0.1)</f>
        <v>23.8</v>
      </c>
      <c r="D1524" s="419"/>
      <c r="E1524" s="923"/>
      <c r="F1524" s="924"/>
      <c r="G1524" s="924"/>
      <c r="H1524" s="604"/>
      <c r="I1524" s="31"/>
      <c r="J1524" s="286"/>
      <c r="K1524" s="286"/>
      <c r="L1524" s="286"/>
      <c r="M1524" s="273"/>
      <c r="N1524" s="273"/>
      <c r="O1524" s="273"/>
    </row>
    <row r="1525" spans="1:15" ht="16.5" customHeight="1" thickTop="1">
      <c r="A1525" s="65" t="s">
        <v>699</v>
      </c>
      <c r="B1525" s="451"/>
      <c r="C1525" s="45"/>
      <c r="D1525" s="45"/>
      <c r="E1525" s="774"/>
      <c r="F1525" s="774"/>
      <c r="G1525" s="774"/>
      <c r="H1525" s="774"/>
      <c r="I1525" s="31"/>
      <c r="J1525" s="286"/>
      <c r="K1525" s="286"/>
      <c r="L1525" s="286"/>
      <c r="M1525" s="273"/>
      <c r="N1525" s="273"/>
      <c r="O1525" s="273"/>
    </row>
    <row r="1526" spans="1:15" ht="21.75" customHeight="1" thickBot="1">
      <c r="A1526" s="10"/>
      <c r="B1526" s="10"/>
      <c r="C1526" s="79"/>
      <c r="D1526" s="79"/>
      <c r="E1526" s="80"/>
      <c r="F1526" s="80"/>
      <c r="G1526" s="7"/>
      <c r="H1526" s="7"/>
      <c r="I1526" s="31"/>
      <c r="J1526" s="273"/>
      <c r="K1526" s="273"/>
      <c r="L1526" s="273"/>
      <c r="M1526" s="273"/>
      <c r="N1526" s="273"/>
      <c r="O1526" s="273"/>
    </row>
    <row r="1527" spans="1:15" ht="15.75" thickTop="1">
      <c r="A1527" s="1098" t="s">
        <v>4</v>
      </c>
      <c r="B1527" s="81"/>
      <c r="C1527" s="1026" t="s">
        <v>625</v>
      </c>
      <c r="D1527" s="1034"/>
      <c r="E1527" s="1028"/>
      <c r="F1527" s="1029"/>
      <c r="G1527" s="1029"/>
      <c r="H1527" s="1029"/>
      <c r="I1527" s="29"/>
      <c r="J1527" s="300"/>
      <c r="K1527" s="300"/>
      <c r="L1527" s="300"/>
      <c r="M1527" s="273"/>
      <c r="N1527" s="273"/>
      <c r="O1527" s="273"/>
    </row>
    <row r="1528" spans="1:15" ht="14.25">
      <c r="A1528" s="1079"/>
      <c r="B1528" s="87"/>
      <c r="C1528" s="82" t="s">
        <v>70</v>
      </c>
      <c r="D1528" s="83"/>
      <c r="E1528" s="487"/>
      <c r="F1528" s="486"/>
      <c r="G1528" s="486"/>
      <c r="H1528" s="486"/>
      <c r="I1528" s="7"/>
      <c r="J1528" s="286"/>
      <c r="K1528" s="286"/>
      <c r="L1528" s="286"/>
      <c r="M1528" s="273"/>
      <c r="N1528" s="273"/>
      <c r="O1528" s="273"/>
    </row>
    <row r="1529" spans="1:15" ht="15">
      <c r="A1529" s="18" t="s">
        <v>60</v>
      </c>
      <c r="B1529" s="568" t="s">
        <v>494</v>
      </c>
      <c r="C1529" s="916">
        <f>CEILING(59*$Z$2,0.1)</f>
        <v>73.8</v>
      </c>
      <c r="D1529" s="737"/>
      <c r="E1529" s="912"/>
      <c r="F1529" s="914"/>
      <c r="G1529" s="914"/>
      <c r="H1529" s="604"/>
      <c r="I1529" s="31"/>
      <c r="J1529" s="286"/>
      <c r="K1529" s="286"/>
      <c r="L1529" s="286"/>
      <c r="M1529" s="273"/>
      <c r="N1529" s="273"/>
      <c r="O1529" s="273"/>
    </row>
    <row r="1530" spans="1:15" ht="15">
      <c r="A1530" s="21" t="s">
        <v>18</v>
      </c>
      <c r="B1530" s="568" t="s">
        <v>495</v>
      </c>
      <c r="C1530" s="916">
        <f>CEILING(76*$Z$2,0.1)</f>
        <v>95</v>
      </c>
      <c r="D1530" s="915"/>
      <c r="E1530" s="912"/>
      <c r="F1530" s="914"/>
      <c r="G1530" s="914"/>
      <c r="H1530" s="604"/>
      <c r="I1530" s="31"/>
      <c r="J1530" s="286"/>
      <c r="K1530" s="286"/>
      <c r="L1530" s="286"/>
      <c r="M1530" s="273"/>
      <c r="N1530" s="273"/>
      <c r="O1530" s="273"/>
    </row>
    <row r="1531" spans="1:15" ht="15">
      <c r="A1531" s="21"/>
      <c r="B1531" s="618" t="s">
        <v>496</v>
      </c>
      <c r="C1531" s="916">
        <f>CEILING(50*$Z$2,0.1)</f>
        <v>62.5</v>
      </c>
      <c r="D1531" s="915"/>
      <c r="E1531" s="912"/>
      <c r="F1531" s="914"/>
      <c r="G1531" s="914"/>
      <c r="H1531" s="604"/>
      <c r="I1531" s="31"/>
      <c r="J1531" s="286"/>
      <c r="K1531" s="286"/>
      <c r="L1531" s="286"/>
      <c r="M1531" s="273"/>
      <c r="N1531" s="273"/>
      <c r="O1531" s="273"/>
    </row>
    <row r="1532" spans="1:15" ht="14.25">
      <c r="A1532" s="515" t="s">
        <v>910</v>
      </c>
      <c r="B1532" s="813" t="s">
        <v>517</v>
      </c>
      <c r="C1532" s="916">
        <f>CEILING((C1529*0.5),0.1)</f>
        <v>36.9</v>
      </c>
      <c r="D1532" s="915"/>
      <c r="E1532" s="912"/>
      <c r="F1532" s="914"/>
      <c r="G1532" s="914"/>
      <c r="H1532" s="604"/>
      <c r="I1532" s="31"/>
      <c r="J1532" s="286"/>
      <c r="K1532" s="286"/>
      <c r="L1532" s="286"/>
      <c r="M1532" s="273"/>
      <c r="N1532" s="273"/>
      <c r="O1532" s="273"/>
    </row>
    <row r="1533" spans="1:15" ht="15">
      <c r="A1533" s="21"/>
      <c r="B1533" s="618" t="s">
        <v>497</v>
      </c>
      <c r="C1533" s="922">
        <f>CEILING(64.5*$Z$2,0.1)</f>
        <v>80.7</v>
      </c>
      <c r="D1533" s="814"/>
      <c r="E1533" s="814"/>
      <c r="F1533" s="817"/>
      <c r="G1533" s="914"/>
      <c r="H1533" s="604"/>
      <c r="I1533" s="31"/>
      <c r="J1533" s="286"/>
      <c r="K1533" s="286"/>
      <c r="L1533" s="286"/>
      <c r="M1533" s="273"/>
      <c r="N1533" s="273"/>
      <c r="O1533" s="273"/>
    </row>
    <row r="1534" spans="1:15" ht="15">
      <c r="A1534" s="21"/>
      <c r="B1534" s="568" t="s">
        <v>498</v>
      </c>
      <c r="C1534" s="916">
        <f>CEILING(82*$Z$2,0.1)</f>
        <v>102.5</v>
      </c>
      <c r="D1534" s="814"/>
      <c r="E1534" s="912"/>
      <c r="F1534" s="817"/>
      <c r="G1534" s="914"/>
      <c r="H1534" s="604"/>
      <c r="I1534" s="31"/>
      <c r="J1534" s="286"/>
      <c r="K1534" s="286"/>
      <c r="L1534" s="286"/>
      <c r="M1534" s="273"/>
      <c r="N1534" s="273"/>
      <c r="O1534" s="273"/>
    </row>
    <row r="1535" spans="1:15" ht="15">
      <c r="A1535" s="21"/>
      <c r="B1535" s="618" t="s">
        <v>499</v>
      </c>
      <c r="C1535" s="916">
        <f>CEILING(56*$Z$2,0.1)</f>
        <v>70</v>
      </c>
      <c r="D1535" s="814"/>
      <c r="E1535" s="912"/>
      <c r="F1535" s="817"/>
      <c r="G1535" s="914"/>
      <c r="H1535" s="604"/>
      <c r="I1535" s="31"/>
      <c r="J1535" s="286"/>
      <c r="K1535" s="286"/>
      <c r="L1535" s="286"/>
      <c r="M1535" s="273"/>
      <c r="N1535" s="273"/>
      <c r="O1535" s="273"/>
    </row>
    <row r="1536" spans="1:15" ht="15">
      <c r="A1536" s="21"/>
      <c r="B1536" s="813" t="s">
        <v>518</v>
      </c>
      <c r="C1536" s="916">
        <f>CEILING((C1533*0.5),0.1)</f>
        <v>40.400000000000006</v>
      </c>
      <c r="D1536" s="814"/>
      <c r="E1536" s="912"/>
      <c r="F1536" s="817"/>
      <c r="G1536" s="914"/>
      <c r="H1536" s="604"/>
      <c r="I1536" s="31"/>
      <c r="J1536" s="286"/>
      <c r="K1536" s="286"/>
      <c r="L1536" s="286"/>
      <c r="M1536" s="273"/>
      <c r="N1536" s="273"/>
      <c r="O1536" s="273"/>
    </row>
    <row r="1537" spans="1:15" ht="15" thickBot="1">
      <c r="A1537" s="63" t="s">
        <v>164</v>
      </c>
      <c r="B1537" s="574" t="s">
        <v>500</v>
      </c>
      <c r="C1537" s="815">
        <f>CEILING(138*$Z$2,0.1)</f>
        <v>172.5</v>
      </c>
      <c r="D1537" s="816"/>
      <c r="E1537" s="814"/>
      <c r="F1537" s="817"/>
      <c r="G1537" s="914"/>
      <c r="H1537" s="604"/>
      <c r="I1537" s="31"/>
      <c r="J1537" s="286"/>
      <c r="K1537" s="286"/>
      <c r="L1537" s="286"/>
      <c r="M1537" s="273"/>
      <c r="N1537" s="273"/>
      <c r="O1537" s="273"/>
    </row>
    <row r="1538" spans="1:15" ht="15" thickTop="1">
      <c r="A1538" s="65" t="s">
        <v>698</v>
      </c>
      <c r="B1538" s="575"/>
      <c r="C1538" s="817"/>
      <c r="D1538" s="817"/>
      <c r="E1538" s="817"/>
      <c r="F1538" s="817"/>
      <c r="G1538" s="774"/>
      <c r="H1538" s="774"/>
      <c r="I1538" s="31"/>
      <c r="J1538" s="286"/>
      <c r="K1538" s="286"/>
      <c r="L1538" s="286"/>
      <c r="M1538" s="273"/>
      <c r="N1538" s="273"/>
      <c r="O1538" s="273"/>
    </row>
    <row r="1539" spans="1:15" ht="22.5" customHeight="1" thickBot="1">
      <c r="A1539" s="65"/>
      <c r="B1539" s="714"/>
      <c r="C1539" s="285"/>
      <c r="D1539" s="285"/>
      <c r="E1539" s="713"/>
      <c r="F1539" s="713"/>
      <c r="G1539" s="713"/>
      <c r="H1539" s="713"/>
      <c r="I1539" s="31"/>
      <c r="J1539" s="286"/>
      <c r="K1539" s="286"/>
      <c r="L1539" s="286"/>
      <c r="M1539" s="273"/>
      <c r="N1539" s="273"/>
      <c r="O1539" s="273"/>
    </row>
    <row r="1540" spans="1:15" ht="18.75" customHeight="1" thickTop="1">
      <c r="A1540" s="1102" t="s">
        <v>4</v>
      </c>
      <c r="B1540" s="125"/>
      <c r="C1540" s="1043" t="s">
        <v>625</v>
      </c>
      <c r="D1540" s="1044"/>
      <c r="E1540" s="1041"/>
      <c r="F1540" s="1042"/>
      <c r="G1540" s="1042"/>
      <c r="H1540" s="1042"/>
      <c r="I1540" s="1029"/>
      <c r="J1540" s="1029"/>
      <c r="K1540" s="273"/>
      <c r="L1540" s="273"/>
      <c r="M1540" s="273"/>
      <c r="N1540" s="273"/>
      <c r="O1540" s="273"/>
    </row>
    <row r="1541" spans="1:15" ht="15">
      <c r="A1541" s="1103"/>
      <c r="B1541" s="133"/>
      <c r="C1541" s="82" t="s">
        <v>70</v>
      </c>
      <c r="D1541" s="83"/>
      <c r="E1541" s="487"/>
      <c r="F1541" s="486"/>
      <c r="G1541" s="486"/>
      <c r="H1541" s="486"/>
      <c r="I1541" s="486"/>
      <c r="J1541" s="486"/>
      <c r="K1541" s="273"/>
      <c r="L1541" s="273"/>
      <c r="M1541" s="273"/>
      <c r="N1541" s="273"/>
      <c r="O1541" s="273"/>
    </row>
    <row r="1542" spans="1:15" ht="18" customHeight="1">
      <c r="A1542" s="351" t="s">
        <v>40</v>
      </c>
      <c r="B1542" s="164" t="s">
        <v>11</v>
      </c>
      <c r="C1542" s="751">
        <f>CEILING(71*$Z$2,0.1)</f>
        <v>88.80000000000001</v>
      </c>
      <c r="D1542" s="715"/>
      <c r="E1542" s="603"/>
      <c r="F1542" s="604"/>
      <c r="G1542" s="604"/>
      <c r="H1542" s="604"/>
      <c r="I1542" s="604"/>
      <c r="J1542" s="604"/>
      <c r="K1542" s="273"/>
      <c r="L1542" s="273"/>
      <c r="M1542" s="273"/>
      <c r="N1542" s="273"/>
      <c r="O1542" s="273"/>
    </row>
    <row r="1543" spans="1:15" ht="18" customHeight="1">
      <c r="A1543" s="159" t="s">
        <v>628</v>
      </c>
      <c r="B1543" s="164" t="s">
        <v>7</v>
      </c>
      <c r="C1543" s="751">
        <f>CEILING(120*$Z$2,0.1)</f>
        <v>150</v>
      </c>
      <c r="D1543" s="716"/>
      <c r="E1543" s="603"/>
      <c r="F1543" s="604"/>
      <c r="G1543" s="604"/>
      <c r="H1543" s="604"/>
      <c r="I1543" s="604"/>
      <c r="J1543" s="604"/>
      <c r="K1543" s="273"/>
      <c r="L1543" s="273"/>
      <c r="M1543" s="273"/>
      <c r="N1543" s="273"/>
      <c r="O1543" s="273"/>
    </row>
    <row r="1544" spans="1:15" ht="17.25" customHeight="1">
      <c r="A1544" s="159" t="s">
        <v>42</v>
      </c>
      <c r="B1544" s="783" t="s">
        <v>69</v>
      </c>
      <c r="C1544" s="751">
        <f>CEILING((C1542*0.85),0.1)</f>
        <v>75.5</v>
      </c>
      <c r="D1544" s="716"/>
      <c r="E1544" s="603"/>
      <c r="F1544" s="604"/>
      <c r="G1544" s="604"/>
      <c r="H1544" s="604"/>
      <c r="I1544" s="604"/>
      <c r="J1544" s="604"/>
      <c r="K1544" s="273"/>
      <c r="L1544" s="273"/>
      <c r="M1544" s="273"/>
      <c r="N1544" s="273"/>
      <c r="O1544" s="273"/>
    </row>
    <row r="1545" spans="1:15" ht="17.25" customHeight="1">
      <c r="A1545" s="206" t="s">
        <v>52</v>
      </c>
      <c r="B1545" s="292" t="s">
        <v>101</v>
      </c>
      <c r="C1545" s="751">
        <f>CEILING((C1542*0.5),0.1)</f>
        <v>44.400000000000006</v>
      </c>
      <c r="D1545" s="716"/>
      <c r="E1545" s="603"/>
      <c r="F1545" s="604"/>
      <c r="G1545" s="604"/>
      <c r="H1545" s="604"/>
      <c r="I1545" s="604"/>
      <c r="J1545" s="604"/>
      <c r="K1545" s="273"/>
      <c r="L1545" s="273"/>
      <c r="M1545" s="273"/>
      <c r="N1545" s="273"/>
      <c r="O1545" s="273"/>
    </row>
    <row r="1546" spans="1:15" ht="15.75" customHeight="1">
      <c r="A1546" s="206" t="s">
        <v>215</v>
      </c>
      <c r="B1546" s="164" t="s">
        <v>193</v>
      </c>
      <c r="C1546" s="751">
        <f>CEILING(94*$Z$2,0.1)</f>
        <v>117.5</v>
      </c>
      <c r="D1546" s="716"/>
      <c r="E1546" s="603"/>
      <c r="F1546" s="604"/>
      <c r="G1546" s="604"/>
      <c r="H1546" s="604"/>
      <c r="I1546" s="604"/>
      <c r="J1546" s="604"/>
      <c r="K1546" s="273"/>
      <c r="L1546" s="273"/>
      <c r="M1546" s="273"/>
      <c r="N1546" s="273"/>
      <c r="O1546" s="273"/>
    </row>
    <row r="1547" spans="1:15" ht="15" customHeight="1">
      <c r="A1547" s="206" t="s">
        <v>41</v>
      </c>
      <c r="B1547" s="164" t="s">
        <v>194</v>
      </c>
      <c r="C1547" s="751">
        <f>CEILING(142*$Z$2,0.1)</f>
        <v>177.5</v>
      </c>
      <c r="D1547" s="716"/>
      <c r="E1547" s="603"/>
      <c r="F1547" s="604"/>
      <c r="G1547" s="604"/>
      <c r="H1547" s="604"/>
      <c r="I1547" s="604"/>
      <c r="J1547" s="604"/>
      <c r="K1547" s="273"/>
      <c r="L1547" s="273"/>
      <c r="M1547" s="273"/>
      <c r="N1547" s="273"/>
      <c r="O1547" s="273"/>
    </row>
    <row r="1548" spans="1:15" ht="30" customHeight="1">
      <c r="A1548" s="245" t="s">
        <v>51</v>
      </c>
      <c r="B1548" s="785" t="s">
        <v>629</v>
      </c>
      <c r="C1548" s="781">
        <f>CEILING(111*$Z$2,0.1)</f>
        <v>138.8</v>
      </c>
      <c r="D1548" s="728"/>
      <c r="E1548" s="603"/>
      <c r="F1548" s="604"/>
      <c r="G1548" s="604"/>
      <c r="H1548" s="604"/>
      <c r="I1548" s="604"/>
      <c r="J1548" s="604"/>
      <c r="K1548" s="273"/>
      <c r="L1548" s="273"/>
      <c r="M1548" s="273"/>
      <c r="N1548" s="273"/>
      <c r="O1548" s="273"/>
    </row>
    <row r="1549" spans="1:15" ht="18" customHeight="1">
      <c r="A1549" s="350" t="s">
        <v>134</v>
      </c>
      <c r="B1549" s="164" t="s">
        <v>368</v>
      </c>
      <c r="C1549" s="751">
        <f>CEILING(159*$Z$2,0.1)</f>
        <v>198.8</v>
      </c>
      <c r="D1549" s="728"/>
      <c r="E1549" s="603"/>
      <c r="F1549" s="604"/>
      <c r="G1549" s="604"/>
      <c r="H1549" s="604"/>
      <c r="I1549" s="604"/>
      <c r="J1549" s="604"/>
      <c r="K1549" s="273"/>
      <c r="L1549" s="273"/>
      <c r="M1549" s="273"/>
      <c r="N1549" s="273"/>
      <c r="O1549" s="273"/>
    </row>
    <row r="1550" spans="1:15" ht="15">
      <c r="A1550" s="350" t="s">
        <v>135</v>
      </c>
      <c r="B1550" s="23"/>
      <c r="C1550" s="730"/>
      <c r="D1550" s="730"/>
      <c r="E1550" s="603"/>
      <c r="F1550" s="604"/>
      <c r="G1550" s="604"/>
      <c r="H1550" s="604"/>
      <c r="I1550" s="604"/>
      <c r="J1550" s="604"/>
      <c r="K1550" s="407"/>
      <c r="L1550" s="273"/>
      <c r="M1550" s="273"/>
      <c r="N1550" s="273"/>
      <c r="O1550" s="273"/>
    </row>
    <row r="1551" spans="1:15" ht="15">
      <c r="A1551" s="350" t="s">
        <v>126</v>
      </c>
      <c r="B1551" s="787" t="s">
        <v>626</v>
      </c>
      <c r="C1551" s="8"/>
      <c r="D1551" s="8"/>
      <c r="E1551" s="603"/>
      <c r="F1551" s="604"/>
      <c r="G1551" s="604"/>
      <c r="H1551" s="604"/>
      <c r="I1551" s="604"/>
      <c r="J1551" s="604"/>
      <c r="K1551" s="407"/>
      <c r="L1551" s="273"/>
      <c r="M1551" s="273"/>
      <c r="N1551" s="273"/>
      <c r="O1551" s="273"/>
    </row>
    <row r="1552" spans="1:15" ht="15">
      <c r="A1552" s="350" t="s">
        <v>255</v>
      </c>
      <c r="B1552" s="255"/>
      <c r="C1552" s="8"/>
      <c r="D1552" s="76"/>
      <c r="E1552" s="759"/>
      <c r="F1552" s="757"/>
      <c r="G1552" s="757"/>
      <c r="H1552" s="757"/>
      <c r="I1552" s="757"/>
      <c r="J1552" s="757"/>
      <c r="K1552" s="407"/>
      <c r="L1552" s="273"/>
      <c r="M1552" s="273"/>
      <c r="N1552" s="273"/>
      <c r="O1552" s="273"/>
    </row>
    <row r="1553" spans="1:15" ht="15">
      <c r="A1553" s="350" t="s">
        <v>132</v>
      </c>
      <c r="B1553" s="255"/>
      <c r="C1553" s="8"/>
      <c r="D1553" s="76"/>
      <c r="E1553" s="759"/>
      <c r="F1553" s="757"/>
      <c r="G1553" s="757"/>
      <c r="H1553" s="757"/>
      <c r="I1553" s="757"/>
      <c r="J1553" s="757"/>
      <c r="K1553" s="407"/>
      <c r="L1553" s="273"/>
      <c r="M1553" s="273"/>
      <c r="N1553" s="273"/>
      <c r="O1553" s="273"/>
    </row>
    <row r="1554" spans="1:15" ht="16.5" customHeight="1" thickBot="1">
      <c r="A1554" s="97" t="s">
        <v>630</v>
      </c>
      <c r="B1554" s="256"/>
      <c r="C1554" s="786"/>
      <c r="D1554" s="257"/>
      <c r="E1554" s="298"/>
      <c r="F1554" s="268"/>
      <c r="G1554" s="268"/>
      <c r="H1554" s="268"/>
      <c r="I1554" s="268"/>
      <c r="J1554" s="268"/>
      <c r="K1554" s="407"/>
      <c r="L1554" s="273"/>
      <c r="M1554" s="273"/>
      <c r="N1554" s="273"/>
      <c r="O1554" s="273"/>
    </row>
    <row r="1555" spans="1:15" ht="15" thickTop="1">
      <c r="A1555" s="65"/>
      <c r="B1555" s="7"/>
      <c r="C1555" s="7"/>
      <c r="D1555" s="7"/>
      <c r="E1555" s="7"/>
      <c r="F1555" s="7"/>
      <c r="G1555" s="7"/>
      <c r="H1555" s="7"/>
      <c r="I1555" s="7"/>
      <c r="J1555" s="273"/>
      <c r="K1555" s="273"/>
      <c r="L1555" s="273"/>
      <c r="M1555" s="273"/>
      <c r="N1555" s="273"/>
      <c r="O1555" s="273"/>
    </row>
    <row r="1556" spans="1:15" ht="15" thickBot="1">
      <c r="A1556" s="10"/>
      <c r="B1556" s="10"/>
      <c r="C1556" s="10"/>
      <c r="D1556" s="10"/>
      <c r="E1556" s="7"/>
      <c r="F1556" s="7"/>
      <c r="G1556" s="7"/>
      <c r="H1556" s="7"/>
      <c r="I1556" s="1"/>
      <c r="J1556" s="273"/>
      <c r="K1556" s="273"/>
      <c r="L1556" s="273"/>
      <c r="M1556" s="273"/>
      <c r="N1556" s="273"/>
      <c r="O1556" s="273"/>
    </row>
    <row r="1557" spans="1:15" ht="15.75" thickTop="1">
      <c r="A1557" s="1102" t="s">
        <v>4</v>
      </c>
      <c r="B1557" s="125"/>
      <c r="C1557" s="1043" t="s">
        <v>625</v>
      </c>
      <c r="D1557" s="1044"/>
      <c r="E1557" s="1041"/>
      <c r="F1557" s="1042"/>
      <c r="G1557" s="1042"/>
      <c r="H1557" s="1042"/>
      <c r="I1557" s="1029"/>
      <c r="J1557" s="1029"/>
      <c r="K1557" s="273"/>
      <c r="L1557" s="273"/>
      <c r="M1557" s="273"/>
      <c r="N1557" s="273"/>
      <c r="O1557" s="273"/>
    </row>
    <row r="1558" spans="1:15" ht="15">
      <c r="A1558" s="1103"/>
      <c r="B1558" s="133"/>
      <c r="C1558" s="82" t="s">
        <v>70</v>
      </c>
      <c r="D1558" s="83"/>
      <c r="E1558" s="487"/>
      <c r="F1558" s="486"/>
      <c r="G1558" s="486"/>
      <c r="H1558" s="486"/>
      <c r="I1558" s="486"/>
      <c r="J1558" s="486"/>
      <c r="K1558" s="273"/>
      <c r="L1558" s="273"/>
      <c r="M1558" s="273"/>
      <c r="N1558" s="273"/>
      <c r="O1558" s="273"/>
    </row>
    <row r="1559" spans="1:15" ht="16.5" customHeight="1">
      <c r="A1559" s="350" t="s">
        <v>127</v>
      </c>
      <c r="B1559" s="164" t="s">
        <v>11</v>
      </c>
      <c r="C1559" s="751">
        <f>CEILING(58*$Z$2,0.1)</f>
        <v>72.5</v>
      </c>
      <c r="D1559" s="715"/>
      <c r="E1559" s="603"/>
      <c r="F1559" s="604"/>
      <c r="G1559" s="604"/>
      <c r="H1559" s="604"/>
      <c r="I1559" s="604"/>
      <c r="J1559" s="604"/>
      <c r="K1559" s="273"/>
      <c r="L1559" s="273"/>
      <c r="M1559" s="273"/>
      <c r="N1559" s="273"/>
      <c r="O1559" s="273"/>
    </row>
    <row r="1560" spans="1:15" ht="16.5" customHeight="1">
      <c r="A1560" s="351" t="s">
        <v>128</v>
      </c>
      <c r="B1560" s="164" t="s">
        <v>7</v>
      </c>
      <c r="C1560" s="751">
        <f>CEILING(102*$Z$2,0.1)</f>
        <v>127.5</v>
      </c>
      <c r="D1560" s="716"/>
      <c r="E1560" s="603"/>
      <c r="F1560" s="604"/>
      <c r="G1560" s="604"/>
      <c r="H1560" s="604"/>
      <c r="I1560" s="604"/>
      <c r="J1560" s="604"/>
      <c r="K1560" s="273"/>
      <c r="L1560" s="273"/>
      <c r="M1560" s="273"/>
      <c r="N1560" s="273"/>
      <c r="O1560" s="273"/>
    </row>
    <row r="1561" spans="1:15" ht="17.25" customHeight="1">
      <c r="A1561" s="351" t="s">
        <v>256</v>
      </c>
      <c r="B1561" s="783" t="s">
        <v>69</v>
      </c>
      <c r="C1561" s="751">
        <f>CEILING((C1559*0.85),0.1)</f>
        <v>61.7</v>
      </c>
      <c r="D1561" s="716"/>
      <c r="E1561" s="603"/>
      <c r="F1561" s="604"/>
      <c r="G1561" s="604"/>
      <c r="H1561" s="604"/>
      <c r="I1561" s="604"/>
      <c r="J1561" s="604"/>
      <c r="K1561" s="273"/>
      <c r="L1561" s="273"/>
      <c r="M1561" s="273"/>
      <c r="N1561" s="273"/>
      <c r="O1561" s="273"/>
    </row>
    <row r="1562" spans="1:15" ht="18" customHeight="1">
      <c r="A1562" s="351" t="s">
        <v>489</v>
      </c>
      <c r="B1562" s="292" t="s">
        <v>101</v>
      </c>
      <c r="C1562" s="751">
        <f>CEILING((C1559*0.5),0.1)</f>
        <v>36.300000000000004</v>
      </c>
      <c r="D1562" s="716"/>
      <c r="E1562" s="603"/>
      <c r="F1562" s="604"/>
      <c r="G1562" s="604"/>
      <c r="H1562" s="604"/>
      <c r="I1562" s="604"/>
      <c r="J1562" s="604"/>
      <c r="K1562" s="273"/>
      <c r="L1562" s="273"/>
      <c r="M1562" s="273"/>
      <c r="N1562" s="273"/>
      <c r="O1562" s="273"/>
    </row>
    <row r="1563" spans="1:15" ht="17.25" customHeight="1">
      <c r="A1563" s="351" t="s">
        <v>258</v>
      </c>
      <c r="B1563" s="785"/>
      <c r="C1563" s="751"/>
      <c r="D1563" s="716"/>
      <c r="E1563" s="603"/>
      <c r="F1563" s="604"/>
      <c r="G1563" s="604"/>
      <c r="H1563" s="604"/>
      <c r="I1563" s="604"/>
      <c r="J1563" s="604"/>
      <c r="K1563" s="273"/>
      <c r="L1563" s="273"/>
      <c r="M1563" s="273"/>
      <c r="N1563" s="273"/>
      <c r="O1563" s="273"/>
    </row>
    <row r="1564" spans="1:15" ht="18" customHeight="1">
      <c r="A1564" s="351" t="s">
        <v>257</v>
      </c>
      <c r="B1564" s="787" t="s">
        <v>626</v>
      </c>
      <c r="C1564" s="751"/>
      <c r="D1564" s="716"/>
      <c r="E1564" s="759"/>
      <c r="F1564" s="757"/>
      <c r="G1564" s="757"/>
      <c r="H1564" s="757"/>
      <c r="I1564" s="757"/>
      <c r="J1564" s="757"/>
      <c r="K1564" s="273"/>
      <c r="L1564" s="273"/>
      <c r="M1564" s="273"/>
      <c r="N1564" s="273"/>
      <c r="O1564" s="273"/>
    </row>
    <row r="1565" spans="1:15" ht="15" thickBot="1">
      <c r="A1565" s="97" t="s">
        <v>631</v>
      </c>
      <c r="B1565" s="240"/>
      <c r="C1565" s="717"/>
      <c r="D1565" s="729"/>
      <c r="E1565" s="603"/>
      <c r="F1565" s="604"/>
      <c r="G1565" s="604"/>
      <c r="H1565" s="604"/>
      <c r="I1565" s="604"/>
      <c r="J1565" s="604"/>
      <c r="K1565" s="273"/>
      <c r="L1565" s="273"/>
      <c r="M1565" s="273"/>
      <c r="N1565" s="273"/>
      <c r="O1565" s="273"/>
    </row>
    <row r="1566" spans="1:15" ht="24.75" customHeight="1" thickBot="1" thickTop="1">
      <c r="A1566" s="66"/>
      <c r="B1566" s="158"/>
      <c r="C1566" s="68"/>
      <c r="D1566" s="68"/>
      <c r="E1566" s="711"/>
      <c r="F1566" s="711"/>
      <c r="G1566" s="711"/>
      <c r="H1566" s="711"/>
      <c r="I1566" s="711"/>
      <c r="J1566" s="711"/>
      <c r="K1566" s="273"/>
      <c r="L1566" s="273"/>
      <c r="M1566" s="273"/>
      <c r="N1566" s="273"/>
      <c r="O1566" s="273"/>
    </row>
    <row r="1567" spans="1:15" ht="15.75" thickTop="1">
      <c r="A1567" s="1078" t="s">
        <v>4</v>
      </c>
      <c r="B1567" s="1099"/>
      <c r="C1567" s="1026" t="s">
        <v>861</v>
      </c>
      <c r="D1567" s="1027"/>
      <c r="E1567" s="1026" t="s">
        <v>697</v>
      </c>
      <c r="F1567" s="1034"/>
      <c r="G1567" s="1028"/>
      <c r="H1567" s="1029"/>
      <c r="I1567" s="1029"/>
      <c r="J1567" s="1029"/>
      <c r="K1567" s="407"/>
      <c r="L1567" s="273"/>
      <c r="M1567" s="273"/>
      <c r="N1567" s="273"/>
      <c r="O1567" s="273"/>
    </row>
    <row r="1568" spans="1:15" ht="15">
      <c r="A1568" s="1098"/>
      <c r="B1568" s="1100"/>
      <c r="C1568" s="1043" t="s">
        <v>593</v>
      </c>
      <c r="D1568" s="1044"/>
      <c r="E1568" s="1043" t="s">
        <v>860</v>
      </c>
      <c r="F1568" s="1044"/>
      <c r="G1568" s="889"/>
      <c r="H1568" s="890"/>
      <c r="I1568" s="890"/>
      <c r="J1568" s="890"/>
      <c r="K1568" s="407"/>
      <c r="L1568" s="273"/>
      <c r="M1568" s="273"/>
      <c r="N1568" s="273"/>
      <c r="O1568" s="273"/>
    </row>
    <row r="1569" spans="1:15" ht="15">
      <c r="A1569" s="1098"/>
      <c r="B1569" s="1100"/>
      <c r="C1569" s="1043" t="s">
        <v>859</v>
      </c>
      <c r="D1569" s="1044"/>
      <c r="E1569" s="887"/>
      <c r="F1569" s="888"/>
      <c r="G1569" s="889"/>
      <c r="H1569" s="890"/>
      <c r="I1569" s="890"/>
      <c r="J1569" s="890"/>
      <c r="K1569" s="407"/>
      <c r="L1569" s="273"/>
      <c r="M1569" s="273"/>
      <c r="N1569" s="273"/>
      <c r="O1569" s="273"/>
    </row>
    <row r="1570" spans="1:15" ht="13.5" customHeight="1">
      <c r="A1570" s="1079"/>
      <c r="B1570" s="1101"/>
      <c r="C1570" s="82" t="s">
        <v>70</v>
      </c>
      <c r="D1570" s="82"/>
      <c r="E1570" s="82" t="s">
        <v>70</v>
      </c>
      <c r="F1570" s="83"/>
      <c r="G1570" s="487"/>
      <c r="H1570" s="486"/>
      <c r="I1570" s="486"/>
      <c r="J1570" s="486"/>
      <c r="K1570" s="273"/>
      <c r="L1570" s="273"/>
      <c r="M1570" s="273"/>
      <c r="N1570" s="273"/>
      <c r="O1570" s="273"/>
    </row>
    <row r="1571" spans="1:15" ht="15">
      <c r="A1571" s="200" t="s">
        <v>100</v>
      </c>
      <c r="B1571" s="252" t="s">
        <v>11</v>
      </c>
      <c r="C1571" s="884">
        <f>CEILING(70*$Z$2,0.1)</f>
        <v>87.5</v>
      </c>
      <c r="D1571" s="734"/>
      <c r="E1571" s="884">
        <f>CEILING(65*$Z$2,0.1)</f>
        <v>81.30000000000001</v>
      </c>
      <c r="F1571" s="737"/>
      <c r="G1571" s="894"/>
      <c r="H1571" s="895"/>
      <c r="I1571" s="895"/>
      <c r="J1571" s="708"/>
      <c r="K1571" s="273"/>
      <c r="L1571" s="273"/>
      <c r="M1571" s="273"/>
      <c r="N1571" s="273"/>
      <c r="O1571" s="273"/>
    </row>
    <row r="1572" spans="1:15" ht="15">
      <c r="A1572" s="21" t="s">
        <v>18</v>
      </c>
      <c r="B1572" s="23" t="s">
        <v>7</v>
      </c>
      <c r="C1572" s="884">
        <f>CEILING(100*$Z$2,0.1)</f>
        <v>125</v>
      </c>
      <c r="D1572" s="735"/>
      <c r="E1572" s="884">
        <f>CEILING(95*$Z$2,0.1)</f>
        <v>118.80000000000001</v>
      </c>
      <c r="F1572" s="894"/>
      <c r="G1572" s="894"/>
      <c r="H1572" s="895"/>
      <c r="I1572" s="895"/>
      <c r="J1572" s="708"/>
      <c r="K1572" s="273"/>
      <c r="L1572" s="273"/>
      <c r="M1572" s="273"/>
      <c r="N1572" s="273"/>
      <c r="O1572" s="273"/>
    </row>
    <row r="1573" spans="1:15" ht="14.25" customHeight="1">
      <c r="A1573" s="571"/>
      <c r="B1573" s="23" t="s">
        <v>9</v>
      </c>
      <c r="C1573" s="884">
        <f>CEILING(60*$Z$2,0.1)</f>
        <v>75</v>
      </c>
      <c r="D1573" s="735"/>
      <c r="E1573" s="884">
        <f>CEILING(55*$Z$2,0.1)</f>
        <v>68.8</v>
      </c>
      <c r="F1573" s="894"/>
      <c r="G1573" s="894"/>
      <c r="H1573" s="895"/>
      <c r="I1573" s="895"/>
      <c r="J1573" s="708"/>
      <c r="K1573" s="273"/>
      <c r="L1573" s="273"/>
      <c r="M1573" s="273"/>
      <c r="N1573" s="273"/>
      <c r="O1573" s="273"/>
    </row>
    <row r="1574" spans="1:15" ht="15.75" customHeight="1" thickBot="1">
      <c r="A1574" s="207" t="s">
        <v>259</v>
      </c>
      <c r="B1574" s="175" t="s">
        <v>171</v>
      </c>
      <c r="C1574" s="883">
        <f>CEILING((C1571*0.5),0.1)</f>
        <v>43.800000000000004</v>
      </c>
      <c r="D1574" s="736"/>
      <c r="E1574" s="883">
        <f>CEILING((E1571*0.5),0.1)</f>
        <v>40.7</v>
      </c>
      <c r="F1574" s="731"/>
      <c r="G1574" s="894"/>
      <c r="H1574" s="895"/>
      <c r="I1574" s="895"/>
      <c r="J1574" s="708"/>
      <c r="K1574" s="273"/>
      <c r="L1574" s="273"/>
      <c r="M1574" s="273"/>
      <c r="N1574" s="273"/>
      <c r="O1574" s="273"/>
    </row>
    <row r="1575" spans="1:15" ht="15.75" customHeight="1" thickTop="1">
      <c r="A1575" s="902" t="s">
        <v>862</v>
      </c>
      <c r="B1575" s="96"/>
      <c r="C1575" s="885"/>
      <c r="D1575" s="895"/>
      <c r="E1575" s="885"/>
      <c r="F1575" s="895"/>
      <c r="G1575" s="895"/>
      <c r="H1575" s="895"/>
      <c r="I1575" s="895"/>
      <c r="J1575" s="895"/>
      <c r="K1575" s="273"/>
      <c r="L1575" s="273"/>
      <c r="M1575" s="273"/>
      <c r="N1575" s="273"/>
      <c r="O1575" s="273"/>
    </row>
    <row r="1576" spans="1:15" ht="23.25" customHeight="1" thickBot="1">
      <c r="A1576" s="70"/>
      <c r="B1576" s="71"/>
      <c r="C1576" s="71"/>
      <c r="D1576" s="71"/>
      <c r="E1576" s="70"/>
      <c r="F1576" s="70"/>
      <c r="G1576" s="70"/>
      <c r="H1576" s="70"/>
      <c r="I1576" s="1"/>
      <c r="J1576" s="273"/>
      <c r="K1576" s="273"/>
      <c r="L1576" s="273"/>
      <c r="M1576" s="273"/>
      <c r="N1576" s="273"/>
      <c r="O1576" s="273"/>
    </row>
    <row r="1577" spans="1:15" ht="15.75" thickTop="1">
      <c r="A1577" s="1078" t="s">
        <v>4</v>
      </c>
      <c r="B1577" s="81"/>
      <c r="C1577" s="1026" t="s">
        <v>592</v>
      </c>
      <c r="D1577" s="1034"/>
      <c r="E1577" s="1026" t="s">
        <v>593</v>
      </c>
      <c r="F1577" s="1034"/>
      <c r="G1577" s="1026" t="s">
        <v>594</v>
      </c>
      <c r="H1577" s="1034"/>
      <c r="I1577" s="6"/>
      <c r="J1577" s="273"/>
      <c r="K1577" s="273"/>
      <c r="L1577" s="273"/>
      <c r="M1577" s="273"/>
      <c r="N1577" s="273"/>
      <c r="O1577" s="273"/>
    </row>
    <row r="1578" spans="1:15" ht="14.25">
      <c r="A1578" s="1079"/>
      <c r="B1578" s="87"/>
      <c r="C1578" s="82" t="s">
        <v>70</v>
      </c>
      <c r="D1578" s="82"/>
      <c r="E1578" s="82" t="s">
        <v>70</v>
      </c>
      <c r="F1578" s="82"/>
      <c r="G1578" s="82" t="s">
        <v>70</v>
      </c>
      <c r="H1578" s="82"/>
      <c r="I1578" s="7"/>
      <c r="J1578" s="273"/>
      <c r="K1578" s="273"/>
      <c r="L1578" s="273"/>
      <c r="M1578" s="273"/>
      <c r="N1578" s="273"/>
      <c r="O1578" s="273"/>
    </row>
    <row r="1579" spans="1:15" ht="15">
      <c r="A1579" s="18" t="s">
        <v>946</v>
      </c>
      <c r="B1579" s="248" t="s">
        <v>11</v>
      </c>
      <c r="C1579" s="943">
        <f>CEILING(25*$Z$3,0.1)</f>
        <v>31.3</v>
      </c>
      <c r="D1579" s="247"/>
      <c r="E1579" s="943">
        <f>CEILING(26*$Z$3,0.1)</f>
        <v>32.5</v>
      </c>
      <c r="F1579" s="247"/>
      <c r="G1579" s="943">
        <f>CEILING(25*$Z$3,0.1)</f>
        <v>31.3</v>
      </c>
      <c r="H1579" s="247"/>
      <c r="I1579" s="7"/>
      <c r="J1579" s="273"/>
      <c r="K1579" s="273"/>
      <c r="L1579" s="273"/>
      <c r="M1579" s="273"/>
      <c r="N1579" s="273"/>
      <c r="O1579" s="273"/>
    </row>
    <row r="1580" spans="1:15" ht="14.25">
      <c r="A1580" s="782" t="s">
        <v>947</v>
      </c>
      <c r="B1580" s="138" t="s">
        <v>7</v>
      </c>
      <c r="C1580" s="943">
        <f>CEILING(30*$Z$3,0.1)</f>
        <v>37.5</v>
      </c>
      <c r="D1580" s="76"/>
      <c r="E1580" s="943">
        <f>CEILING(31*$Z$3,0.1)</f>
        <v>38.800000000000004</v>
      </c>
      <c r="F1580" s="76"/>
      <c r="G1580" s="943">
        <f>CEILING(30*$Z$3,0.1)</f>
        <v>37.5</v>
      </c>
      <c r="H1580" s="76"/>
      <c r="I1580" s="7"/>
      <c r="J1580" s="273"/>
      <c r="K1580" s="273"/>
      <c r="L1580" s="273"/>
      <c r="M1580" s="273"/>
      <c r="N1580" s="273"/>
      <c r="O1580" s="273"/>
    </row>
    <row r="1581" spans="1:15" ht="15" thickBot="1">
      <c r="A1581" s="64" t="s">
        <v>550</v>
      </c>
      <c r="B1581" s="397" t="s">
        <v>787</v>
      </c>
      <c r="C1581" s="944">
        <v>0</v>
      </c>
      <c r="D1581" s="77"/>
      <c r="E1581" s="944">
        <v>0</v>
      </c>
      <c r="F1581" s="77"/>
      <c r="G1581" s="944">
        <v>0</v>
      </c>
      <c r="H1581" s="77"/>
      <c r="I1581" s="7"/>
      <c r="J1581" s="273"/>
      <c r="K1581" s="273"/>
      <c r="L1581" s="273"/>
      <c r="M1581" s="273"/>
      <c r="N1581" s="273"/>
      <c r="O1581" s="273"/>
    </row>
    <row r="1582" spans="1:15" ht="15" thickTop="1">
      <c r="A1582" s="7"/>
      <c r="B1582" s="7"/>
      <c r="C1582" s="80"/>
      <c r="D1582" s="80"/>
      <c r="E1582" s="1"/>
      <c r="F1582" s="1"/>
      <c r="G1582" s="1"/>
      <c r="H1582" s="1"/>
      <c r="I1582" s="7"/>
      <c r="J1582" s="273"/>
      <c r="K1582" s="273"/>
      <c r="L1582" s="273"/>
      <c r="M1582" s="273"/>
      <c r="N1582" s="273"/>
      <c r="O1582" s="273"/>
    </row>
    <row r="1583" spans="1:15" ht="14.25">
      <c r="A1583" s="7"/>
      <c r="B1583" s="7"/>
      <c r="C1583" s="7"/>
      <c r="D1583" s="7"/>
      <c r="E1583" s="1"/>
      <c r="F1583" s="1"/>
      <c r="G1583" s="1"/>
      <c r="H1583" s="1"/>
      <c r="I1583" s="7"/>
      <c r="J1583" s="273"/>
      <c r="K1583" s="273"/>
      <c r="L1583" s="273"/>
      <c r="M1583" s="273"/>
      <c r="N1583" s="273"/>
      <c r="O1583" s="273"/>
    </row>
    <row r="1584" spans="1:15" ht="14.25">
      <c r="A1584" s="1095" t="s">
        <v>161</v>
      </c>
      <c r="B1584" s="1095"/>
      <c r="C1584" s="1095"/>
      <c r="D1584" s="1095"/>
      <c r="E1584" s="1095"/>
      <c r="F1584" s="1095"/>
      <c r="G1584" s="1095"/>
      <c r="H1584" s="1095"/>
      <c r="I1584" s="7"/>
      <c r="J1584" s="273"/>
      <c r="K1584" s="273"/>
      <c r="L1584" s="273"/>
      <c r="M1584" s="273"/>
      <c r="N1584" s="273"/>
      <c r="O1584" s="273"/>
    </row>
    <row r="1585" spans="1:15" ht="16.5" customHeight="1" thickBot="1">
      <c r="A1585" s="10"/>
      <c r="B1585" s="10"/>
      <c r="C1585" s="10"/>
      <c r="D1585" s="10"/>
      <c r="E1585" s="7"/>
      <c r="F1585" s="7"/>
      <c r="G1585" s="7"/>
      <c r="H1585" s="7"/>
      <c r="I1585" s="7"/>
      <c r="J1585" s="273"/>
      <c r="K1585" s="273"/>
      <c r="L1585" s="273"/>
      <c r="M1585" s="273"/>
      <c r="N1585" s="273"/>
      <c r="O1585" s="273"/>
    </row>
    <row r="1586" spans="1:15" ht="25.5" customHeight="1" thickTop="1">
      <c r="A1586" s="695" t="s">
        <v>4</v>
      </c>
      <c r="B1586" s="144"/>
      <c r="C1586" s="1030" t="s">
        <v>625</v>
      </c>
      <c r="D1586" s="1031"/>
      <c r="E1586" s="1161"/>
      <c r="F1586" s="1161"/>
      <c r="G1586" s="1161"/>
      <c r="H1586" s="1161"/>
      <c r="I1586" s="7"/>
      <c r="J1586" s="273"/>
      <c r="K1586" s="273"/>
      <c r="L1586" s="273"/>
      <c r="M1586" s="273"/>
      <c r="N1586" s="273"/>
      <c r="O1586" s="273"/>
    </row>
    <row r="1587" spans="1:15" ht="16.5" customHeight="1">
      <c r="A1587" s="91" t="s">
        <v>43</v>
      </c>
      <c r="B1587" s="168" t="s">
        <v>136</v>
      </c>
      <c r="C1587" s="990">
        <f>CEILING(88*$Z$1,0.1)</f>
        <v>110</v>
      </c>
      <c r="D1587" s="991"/>
      <c r="E1587" s="950"/>
      <c r="F1587" s="950"/>
      <c r="G1587" s="950"/>
      <c r="H1587" s="950"/>
      <c r="I1587" s="98"/>
      <c r="J1587" s="273"/>
      <c r="K1587" s="273"/>
      <c r="L1587" s="273"/>
      <c r="M1587" s="273"/>
      <c r="N1587" s="273"/>
      <c r="O1587" s="273"/>
    </row>
    <row r="1588" spans="1:15" ht="18.75" customHeight="1">
      <c r="A1588" s="169" t="s">
        <v>24</v>
      </c>
      <c r="B1588" s="168" t="s">
        <v>137</v>
      </c>
      <c r="C1588" s="947">
        <f>CEILING(111*$Z$1,0.1)</f>
        <v>138.8</v>
      </c>
      <c r="D1588" s="957"/>
      <c r="E1588" s="950"/>
      <c r="F1588" s="950"/>
      <c r="G1588" s="950"/>
      <c r="H1588" s="950"/>
      <c r="I1588" s="98"/>
      <c r="J1588" s="273"/>
      <c r="K1588" s="273"/>
      <c r="L1588" s="273"/>
      <c r="M1588" s="273"/>
      <c r="N1588" s="273"/>
      <c r="O1588" s="273"/>
    </row>
    <row r="1589" spans="1:15" ht="17.25" customHeight="1" thickBot="1">
      <c r="A1589" s="63" t="s">
        <v>163</v>
      </c>
      <c r="B1589" s="170" t="s">
        <v>138</v>
      </c>
      <c r="C1589" s="958">
        <f>CEILING(138*$Z$1,0.1)</f>
        <v>172.5</v>
      </c>
      <c r="D1589" s="959"/>
      <c r="E1589" s="950"/>
      <c r="F1589" s="950"/>
      <c r="G1589" s="950"/>
      <c r="H1589" s="950"/>
      <c r="I1589" s="98"/>
      <c r="J1589" s="273"/>
      <c r="K1589" s="273"/>
      <c r="L1589" s="273"/>
      <c r="M1589" s="273"/>
      <c r="N1589" s="273"/>
      <c r="O1589" s="273"/>
    </row>
    <row r="1590" spans="1:15" ht="15" thickTop="1">
      <c r="A1590" s="1165" t="s">
        <v>706</v>
      </c>
      <c r="B1590" s="1165"/>
      <c r="C1590" s="1165"/>
      <c r="D1590" s="1165"/>
      <c r="E1590" s="1156"/>
      <c r="F1590" s="1156"/>
      <c r="G1590" s="1156"/>
      <c r="H1590" s="1156"/>
      <c r="I1590" s="98"/>
      <c r="J1590" s="273"/>
      <c r="K1590" s="273"/>
      <c r="L1590" s="273"/>
      <c r="M1590" s="273"/>
      <c r="N1590" s="273"/>
      <c r="O1590" s="273"/>
    </row>
    <row r="1591" spans="1:15" ht="24" customHeight="1" thickBot="1">
      <c r="A1591" s="84"/>
      <c r="B1591" s="84"/>
      <c r="C1591" s="85"/>
      <c r="D1591" s="85"/>
      <c r="E1591" s="10"/>
      <c r="F1591" s="10"/>
      <c r="G1591" s="10"/>
      <c r="H1591" s="10"/>
      <c r="I1591" s="134"/>
      <c r="J1591" s="273"/>
      <c r="K1591" s="273"/>
      <c r="L1591" s="273"/>
      <c r="M1591" s="273"/>
      <c r="N1591" s="273"/>
      <c r="O1591" s="273"/>
    </row>
    <row r="1592" spans="1:15" ht="21.75" customHeight="1" thickTop="1">
      <c r="A1592" s="695" t="s">
        <v>4</v>
      </c>
      <c r="B1592" s="433" t="s">
        <v>195</v>
      </c>
      <c r="C1592" s="945" t="s">
        <v>592</v>
      </c>
      <c r="D1592" s="946"/>
      <c r="E1592" s="945" t="s">
        <v>707</v>
      </c>
      <c r="F1592" s="946"/>
      <c r="G1592" s="945" t="s">
        <v>708</v>
      </c>
      <c r="H1592" s="946"/>
      <c r="I1592" s="134"/>
      <c r="J1592" s="273"/>
      <c r="K1592" s="273"/>
      <c r="L1592" s="273"/>
      <c r="M1592" s="273"/>
      <c r="N1592" s="273"/>
      <c r="O1592" s="273"/>
    </row>
    <row r="1593" spans="1:15" ht="15">
      <c r="A1593" s="18" t="s">
        <v>66</v>
      </c>
      <c r="B1593" s="138" t="s">
        <v>11</v>
      </c>
      <c r="C1593" s="951">
        <f>CEILING(41*$Z$1,0.1)</f>
        <v>51.300000000000004</v>
      </c>
      <c r="D1593" s="954"/>
      <c r="E1593" s="951">
        <f>CEILING(45*$Z$1,0.1)</f>
        <v>56.300000000000004</v>
      </c>
      <c r="F1593" s="954"/>
      <c r="G1593" s="951">
        <f>CEILING(41*$Z$1,0.1)</f>
        <v>51.300000000000004</v>
      </c>
      <c r="H1593" s="954"/>
      <c r="I1593" s="46"/>
      <c r="J1593" s="273"/>
      <c r="K1593" s="273"/>
      <c r="L1593" s="273"/>
      <c r="M1593" s="273"/>
      <c r="N1593" s="273"/>
      <c r="O1593" s="273"/>
    </row>
    <row r="1594" spans="1:15" ht="15">
      <c r="A1594" s="21" t="s">
        <v>24</v>
      </c>
      <c r="B1594" s="138" t="s">
        <v>7</v>
      </c>
      <c r="C1594" s="951">
        <f>CEILING((C1593+30*$Z$1),0.1)</f>
        <v>88.80000000000001</v>
      </c>
      <c r="D1594" s="952"/>
      <c r="E1594" s="951">
        <f>CEILING((E1593+30*$Z$1),0.1)</f>
        <v>93.80000000000001</v>
      </c>
      <c r="F1594" s="952"/>
      <c r="G1594" s="951">
        <f>CEILING((G1593+30*$Z$1),0.1)</f>
        <v>88.80000000000001</v>
      </c>
      <c r="H1594" s="952"/>
      <c r="I1594" s="17"/>
      <c r="J1594" s="273"/>
      <c r="K1594" s="273"/>
      <c r="L1594" s="273"/>
      <c r="M1594" s="273"/>
      <c r="N1594" s="273"/>
      <c r="O1594" s="273"/>
    </row>
    <row r="1595" spans="1:15" ht="16.5" customHeight="1">
      <c r="A1595" s="21"/>
      <c r="B1595" s="23" t="s">
        <v>69</v>
      </c>
      <c r="C1595" s="951">
        <f>CEILING((C1593*0.85),0.1)</f>
        <v>43.7</v>
      </c>
      <c r="D1595" s="952"/>
      <c r="E1595" s="951">
        <f>CEILING((E1593*0.85),0.1)</f>
        <v>47.900000000000006</v>
      </c>
      <c r="F1595" s="952"/>
      <c r="G1595" s="951">
        <f>CEILING((G1593*0.85),0.1)</f>
        <v>43.7</v>
      </c>
      <c r="H1595" s="952"/>
      <c r="I1595" s="17"/>
      <c r="J1595" s="273"/>
      <c r="K1595" s="273"/>
      <c r="L1595" s="273"/>
      <c r="M1595" s="273"/>
      <c r="N1595" s="273"/>
      <c r="O1595" s="273"/>
    </row>
    <row r="1596" spans="1:15" ht="15" thickBot="1">
      <c r="A1596" s="63" t="s">
        <v>420</v>
      </c>
      <c r="B1596" s="311" t="s">
        <v>709</v>
      </c>
      <c r="C1596" s="1022">
        <v>0</v>
      </c>
      <c r="D1596" s="1023"/>
      <c r="E1596" s="1022">
        <v>0</v>
      </c>
      <c r="F1596" s="1023"/>
      <c r="G1596" s="1022">
        <v>0</v>
      </c>
      <c r="H1596" s="1023"/>
      <c r="I1596" s="50"/>
      <c r="J1596" s="273"/>
      <c r="K1596" s="273"/>
      <c r="L1596" s="273"/>
      <c r="M1596" s="273"/>
      <c r="N1596" s="273"/>
      <c r="O1596" s="273"/>
    </row>
    <row r="1597" spans="1:15" ht="15.75" customHeight="1" thickTop="1">
      <c r="A1597" s="365" t="s">
        <v>710</v>
      </c>
      <c r="B1597" s="212"/>
      <c r="C1597" s="31"/>
      <c r="D1597" s="31"/>
      <c r="E1597" s="31"/>
      <c r="F1597" s="31"/>
      <c r="G1597" s="31"/>
      <c r="H1597" s="31"/>
      <c r="I1597" s="50"/>
      <c r="J1597" s="273"/>
      <c r="K1597" s="273"/>
      <c r="L1597" s="273"/>
      <c r="M1597" s="273"/>
      <c r="N1597" s="273"/>
      <c r="O1597" s="273"/>
    </row>
    <row r="1598" spans="1:31" ht="15.75" customHeight="1">
      <c r="A1598" s="135"/>
      <c r="B1598" s="135"/>
      <c r="C1598" s="135"/>
      <c r="D1598" s="135"/>
      <c r="E1598" s="135"/>
      <c r="F1598" s="135"/>
      <c r="G1598" s="135"/>
      <c r="H1598" s="135"/>
      <c r="I1598" s="98"/>
      <c r="J1598" s="273"/>
      <c r="K1598" s="273"/>
      <c r="L1598" s="273"/>
      <c r="M1598" s="136"/>
      <c r="N1598" s="136"/>
      <c r="O1598" s="136"/>
      <c r="P1598" s="136"/>
      <c r="Q1598" s="136"/>
      <c r="R1598" s="136"/>
      <c r="S1598" s="136"/>
      <c r="T1598" s="136"/>
      <c r="U1598" s="136"/>
      <c r="V1598" s="136"/>
      <c r="W1598" s="136"/>
      <c r="X1598" s="136"/>
      <c r="Y1598" s="136"/>
      <c r="Z1598" s="136"/>
      <c r="AA1598" s="136"/>
      <c r="AB1598" s="136"/>
      <c r="AC1598" s="136"/>
      <c r="AD1598" s="136"/>
      <c r="AE1598" s="136"/>
    </row>
    <row r="1599" spans="1:31" ht="20.25" customHeight="1">
      <c r="A1599" s="1015" t="s">
        <v>695</v>
      </c>
      <c r="B1599" s="1015"/>
      <c r="C1599" s="1015"/>
      <c r="D1599" s="1015"/>
      <c r="E1599" s="1015"/>
      <c r="F1599" s="1015"/>
      <c r="G1599" s="1015"/>
      <c r="H1599" s="1012"/>
      <c r="I1599" s="1012"/>
      <c r="J1599" s="273"/>
      <c r="K1599" s="273"/>
      <c r="L1599" s="273"/>
      <c r="M1599" s="136"/>
      <c r="N1599" s="136"/>
      <c r="O1599" s="136"/>
      <c r="P1599" s="136"/>
      <c r="Q1599" s="136"/>
      <c r="R1599" s="136"/>
      <c r="S1599" s="136"/>
      <c r="T1599" s="136"/>
      <c r="U1599" s="136"/>
      <c r="V1599" s="136"/>
      <c r="W1599" s="136"/>
      <c r="X1599" s="136"/>
      <c r="Y1599" s="136"/>
      <c r="Z1599" s="136"/>
      <c r="AA1599" s="136"/>
      <c r="AB1599" s="136"/>
      <c r="AC1599" s="136"/>
      <c r="AD1599" s="136"/>
      <c r="AE1599" s="136"/>
    </row>
    <row r="1600" spans="1:31" ht="19.5" customHeight="1">
      <c r="A1600" s="427"/>
      <c r="B1600" s="428"/>
      <c r="C1600" s="428"/>
      <c r="D1600" s="428"/>
      <c r="E1600" s="428"/>
      <c r="F1600" s="428"/>
      <c r="G1600" s="428"/>
      <c r="H1600" s="428"/>
      <c r="I1600" s="286"/>
      <c r="J1600" s="273"/>
      <c r="K1600" s="273"/>
      <c r="L1600" s="273"/>
      <c r="M1600" s="136"/>
      <c r="N1600" s="136"/>
      <c r="O1600" s="136"/>
      <c r="P1600" s="136"/>
      <c r="Q1600" s="136"/>
      <c r="R1600" s="136"/>
      <c r="S1600" s="136"/>
      <c r="T1600" s="136"/>
      <c r="U1600" s="136"/>
      <c r="V1600" s="136"/>
      <c r="W1600" s="136"/>
      <c r="X1600" s="136"/>
      <c r="Y1600" s="136"/>
      <c r="Z1600" s="136"/>
      <c r="AA1600" s="136"/>
      <c r="AB1600" s="136"/>
      <c r="AC1600" s="136"/>
      <c r="AD1600" s="136"/>
      <c r="AE1600" s="136"/>
    </row>
    <row r="1601" spans="1:31" ht="14.25">
      <c r="A1601" s="1095" t="s">
        <v>361</v>
      </c>
      <c r="B1601" s="1095"/>
      <c r="C1601" s="1095"/>
      <c r="D1601" s="1095"/>
      <c r="E1601" s="1095"/>
      <c r="F1601" s="1095"/>
      <c r="G1601" s="1095"/>
      <c r="H1601" s="1095"/>
      <c r="I1601" s="1095"/>
      <c r="J1601" s="1095"/>
      <c r="K1601" s="273"/>
      <c r="L1601" s="273"/>
      <c r="M1601" s="136"/>
      <c r="N1601" s="136"/>
      <c r="O1601" s="136"/>
      <c r="P1601" s="136"/>
      <c r="Q1601" s="136"/>
      <c r="R1601" s="136"/>
      <c r="S1601" s="136"/>
      <c r="T1601" s="136"/>
      <c r="U1601" s="136"/>
      <c r="V1601" s="136"/>
      <c r="W1601" s="136"/>
      <c r="X1601" s="136"/>
      <c r="Y1601" s="136"/>
      <c r="Z1601" s="136"/>
      <c r="AA1601" s="136"/>
      <c r="AB1601" s="136"/>
      <c r="AC1601" s="136"/>
      <c r="AD1601" s="136"/>
      <c r="AE1601" s="136"/>
    </row>
    <row r="1602" spans="1:31" ht="15" thickBot="1">
      <c r="A1602" s="427"/>
      <c r="B1602" s="428"/>
      <c r="C1602" s="434"/>
      <c r="D1602" s="434"/>
      <c r="E1602" s="434"/>
      <c r="F1602" s="434"/>
      <c r="G1602" s="434"/>
      <c r="H1602" s="434"/>
      <c r="I1602" s="286"/>
      <c r="J1602" s="273"/>
      <c r="K1602" s="273"/>
      <c r="L1602" s="273"/>
      <c r="M1602" s="136"/>
      <c r="N1602" s="136"/>
      <c r="O1602" s="136"/>
      <c r="P1602" s="136"/>
      <c r="Q1602" s="136"/>
      <c r="R1602" s="136"/>
      <c r="S1602" s="136"/>
      <c r="T1602" s="136"/>
      <c r="U1602" s="136"/>
      <c r="V1602" s="136"/>
      <c r="W1602" s="136"/>
      <c r="X1602" s="136"/>
      <c r="Y1602" s="136"/>
      <c r="Z1602" s="136"/>
      <c r="AA1602" s="136"/>
      <c r="AB1602" s="136"/>
      <c r="AC1602" s="136"/>
      <c r="AD1602" s="136"/>
      <c r="AE1602" s="136"/>
    </row>
    <row r="1603" spans="1:31" ht="24.75" customHeight="1" thickTop="1">
      <c r="A1603" s="696" t="s">
        <v>4</v>
      </c>
      <c r="B1603" s="433" t="s">
        <v>195</v>
      </c>
      <c r="C1603" s="945" t="s">
        <v>592</v>
      </c>
      <c r="D1603" s="946"/>
      <c r="E1603" s="945" t="s">
        <v>593</v>
      </c>
      <c r="F1603" s="946"/>
      <c r="G1603" s="945" t="s">
        <v>594</v>
      </c>
      <c r="H1603" s="964"/>
      <c r="I1603" s="298"/>
      <c r="J1603" s="273"/>
      <c r="K1603" s="273"/>
      <c r="L1603" s="273"/>
      <c r="M1603" s="136"/>
      <c r="N1603" s="136"/>
      <c r="O1603" s="136"/>
      <c r="P1603" s="136"/>
      <c r="Q1603" s="136"/>
      <c r="R1603" s="136"/>
      <c r="S1603" s="136"/>
      <c r="T1603" s="136"/>
      <c r="U1603" s="136"/>
      <c r="V1603" s="136"/>
      <c r="W1603" s="136"/>
      <c r="X1603" s="136"/>
      <c r="Y1603" s="136"/>
      <c r="Z1603" s="136"/>
      <c r="AA1603" s="136"/>
      <c r="AB1603" s="136"/>
      <c r="AC1603" s="136"/>
      <c r="AD1603" s="136"/>
      <c r="AE1603" s="136"/>
    </row>
    <row r="1604" spans="1:31" ht="15.75" customHeight="1">
      <c r="A1604" s="431" t="s">
        <v>362</v>
      </c>
      <c r="B1604" s="681" t="s">
        <v>11</v>
      </c>
      <c r="C1604" s="951">
        <f>CEILING(60*$Z$1,0.1)</f>
        <v>75</v>
      </c>
      <c r="D1604" s="954"/>
      <c r="E1604" s="951">
        <f>CEILING(65*$Z$1,0.1)</f>
        <v>81.30000000000001</v>
      </c>
      <c r="F1604" s="954"/>
      <c r="G1604" s="951">
        <f>CEILING(60*$Z$1,0.1)</f>
        <v>75</v>
      </c>
      <c r="H1604" s="954"/>
      <c r="I1604" s="298"/>
      <c r="J1604" s="273"/>
      <c r="K1604" s="273"/>
      <c r="L1604" s="273"/>
      <c r="M1604" s="136"/>
      <c r="N1604" s="136"/>
      <c r="O1604" s="136"/>
      <c r="P1604" s="136"/>
      <c r="Q1604" s="136"/>
      <c r="R1604" s="136"/>
      <c r="S1604" s="136"/>
      <c r="T1604" s="136"/>
      <c r="U1604" s="136"/>
      <c r="V1604" s="136"/>
      <c r="W1604" s="136"/>
      <c r="X1604" s="136"/>
      <c r="Y1604" s="136"/>
      <c r="Z1604" s="136"/>
      <c r="AA1604" s="136"/>
      <c r="AB1604" s="136"/>
      <c r="AC1604" s="136"/>
      <c r="AD1604" s="136"/>
      <c r="AE1604" s="136"/>
    </row>
    <row r="1605" spans="1:31" ht="15.75" customHeight="1">
      <c r="A1605" s="270" t="s">
        <v>18</v>
      </c>
      <c r="B1605" s="681" t="s">
        <v>7</v>
      </c>
      <c r="C1605" s="951">
        <f>CEILING(90*$Z$1,0.1)</f>
        <v>112.5</v>
      </c>
      <c r="D1605" s="952"/>
      <c r="E1605" s="951">
        <f>CEILING(95*$Z$1,0.1)</f>
        <v>118.80000000000001</v>
      </c>
      <c r="F1605" s="952"/>
      <c r="G1605" s="951">
        <f>CEILING(90*$Z$1,0.1)</f>
        <v>112.5</v>
      </c>
      <c r="H1605" s="954"/>
      <c r="I1605" s="298"/>
      <c r="J1605" s="273"/>
      <c r="K1605" s="273"/>
      <c r="L1605" s="273"/>
      <c r="M1605" s="136"/>
      <c r="N1605" s="136"/>
      <c r="O1605" s="136"/>
      <c r="P1605" s="136"/>
      <c r="Q1605" s="136"/>
      <c r="R1605" s="136"/>
      <c r="S1605" s="136"/>
      <c r="T1605" s="136"/>
      <c r="U1605" s="136"/>
      <c r="V1605" s="136"/>
      <c r="W1605" s="136"/>
      <c r="X1605" s="136"/>
      <c r="Y1605" s="136"/>
      <c r="Z1605" s="136"/>
      <c r="AA1605" s="136"/>
      <c r="AB1605" s="136"/>
      <c r="AC1605" s="136"/>
      <c r="AD1605" s="136"/>
      <c r="AE1605" s="136"/>
    </row>
    <row r="1606" spans="1:31" ht="17.25" customHeight="1">
      <c r="A1606" s="365"/>
      <c r="B1606" s="682" t="s">
        <v>69</v>
      </c>
      <c r="C1606" s="951">
        <f>CEILING((C1604*0.85),0.1)</f>
        <v>63.800000000000004</v>
      </c>
      <c r="D1606" s="952"/>
      <c r="E1606" s="951">
        <f>CEILING((E1604*0.85),0.1)</f>
        <v>69.2</v>
      </c>
      <c r="F1606" s="952"/>
      <c r="G1606" s="951">
        <f>CEILING((G1604*0.85),0.1)</f>
        <v>63.800000000000004</v>
      </c>
      <c r="H1606" s="954"/>
      <c r="I1606" s="298"/>
      <c r="J1606" s="273"/>
      <c r="K1606" s="273"/>
      <c r="L1606" s="273"/>
      <c r="M1606" s="136"/>
      <c r="N1606" s="136"/>
      <c r="O1606" s="136"/>
      <c r="P1606" s="136"/>
      <c r="Q1606" s="136"/>
      <c r="R1606" s="136"/>
      <c r="S1606" s="136"/>
      <c r="T1606" s="136"/>
      <c r="U1606" s="136"/>
      <c r="V1606" s="136"/>
      <c r="W1606" s="136"/>
      <c r="X1606" s="136"/>
      <c r="Y1606" s="136"/>
      <c r="Z1606" s="136"/>
      <c r="AA1606" s="136"/>
      <c r="AB1606" s="136"/>
      <c r="AC1606" s="136"/>
      <c r="AD1606" s="136"/>
      <c r="AE1606" s="136"/>
    </row>
    <row r="1607" spans="1:31" ht="15.75" customHeight="1">
      <c r="A1607" s="365"/>
      <c r="B1607" s="683" t="s">
        <v>260</v>
      </c>
      <c r="C1607" s="947">
        <f>CEILING(75*$Z$1,0.1)</f>
        <v>93.80000000000001</v>
      </c>
      <c r="D1607" s="957"/>
      <c r="E1607" s="947">
        <f>CEILING(80*$Z$1,0.1)</f>
        <v>100</v>
      </c>
      <c r="F1607" s="957"/>
      <c r="G1607" s="947">
        <f>CEILING(75*$Z$1,0.1)</f>
        <v>93.80000000000001</v>
      </c>
      <c r="H1607" s="948"/>
      <c r="I1607" s="298"/>
      <c r="J1607" s="273"/>
      <c r="K1607" s="273"/>
      <c r="L1607" s="273"/>
      <c r="M1607" s="136"/>
      <c r="N1607" s="136"/>
      <c r="O1607" s="136"/>
      <c r="P1607" s="136"/>
      <c r="Q1607" s="136"/>
      <c r="R1607" s="136"/>
      <c r="S1607" s="136"/>
      <c r="T1607" s="136"/>
      <c r="U1607" s="136"/>
      <c r="V1607" s="136"/>
      <c r="W1607" s="136"/>
      <c r="X1607" s="136"/>
      <c r="Y1607" s="136"/>
      <c r="Z1607" s="136"/>
      <c r="AA1607" s="136"/>
      <c r="AB1607" s="136"/>
      <c r="AC1607" s="136"/>
      <c r="AD1607" s="136"/>
      <c r="AE1607" s="136"/>
    </row>
    <row r="1608" spans="1:31" ht="17.25" customHeight="1">
      <c r="A1608" s="365"/>
      <c r="B1608" s="681" t="s">
        <v>297</v>
      </c>
      <c r="C1608" s="947">
        <f>CEILING(105*$Z$1,0.1)</f>
        <v>131.3</v>
      </c>
      <c r="D1608" s="957"/>
      <c r="E1608" s="947">
        <f>CEILING(110*$Z$1,0.1)</f>
        <v>137.5</v>
      </c>
      <c r="F1608" s="957"/>
      <c r="G1608" s="947">
        <f>CEILING(105*$Z$1,0.1)</f>
        <v>131.3</v>
      </c>
      <c r="H1608" s="957"/>
      <c r="I1608" s="286"/>
      <c r="J1608" s="273"/>
      <c r="K1608" s="273"/>
      <c r="L1608" s="273"/>
      <c r="M1608" s="136"/>
      <c r="N1608" s="136"/>
      <c r="O1608" s="136"/>
      <c r="P1608" s="136"/>
      <c r="Q1608" s="136"/>
      <c r="R1608" s="136"/>
      <c r="S1608" s="136"/>
      <c r="T1608" s="136"/>
      <c r="U1608" s="136"/>
      <c r="V1608" s="136"/>
      <c r="W1608" s="136"/>
      <c r="X1608" s="136"/>
      <c r="Y1608" s="136"/>
      <c r="Z1608" s="136"/>
      <c r="AA1608" s="136"/>
      <c r="AB1608" s="136"/>
      <c r="AC1608" s="136"/>
      <c r="AD1608" s="136"/>
      <c r="AE1608" s="136"/>
    </row>
    <row r="1609" spans="1:31" ht="18" customHeight="1">
      <c r="A1609" s="365"/>
      <c r="B1609" s="683" t="s">
        <v>10</v>
      </c>
      <c r="C1609" s="947">
        <f>CEILING(90*$Z$1,0.1)</f>
        <v>112.5</v>
      </c>
      <c r="D1609" s="957"/>
      <c r="E1609" s="947">
        <f>CEILING(95*$Z$1,0.1)</f>
        <v>118.80000000000001</v>
      </c>
      <c r="F1609" s="957"/>
      <c r="G1609" s="947">
        <f>CEILING(90*$Z$1,0.1)</f>
        <v>112.5</v>
      </c>
      <c r="H1609" s="957"/>
      <c r="I1609" s="286"/>
      <c r="J1609" s="273"/>
      <c r="K1609" s="273"/>
      <c r="L1609" s="273"/>
      <c r="M1609" s="136"/>
      <c r="N1609" s="136"/>
      <c r="O1609" s="136"/>
      <c r="P1609" s="136"/>
      <c r="Q1609" s="136"/>
      <c r="R1609" s="136"/>
      <c r="S1609" s="136"/>
      <c r="T1609" s="136"/>
      <c r="U1609" s="136"/>
      <c r="V1609" s="136"/>
      <c r="W1609" s="136"/>
      <c r="X1609" s="136"/>
      <c r="Y1609" s="136"/>
      <c r="Z1609" s="136"/>
      <c r="AA1609" s="136"/>
      <c r="AB1609" s="136"/>
      <c r="AC1609" s="136"/>
      <c r="AD1609" s="136"/>
      <c r="AE1609" s="136"/>
    </row>
    <row r="1610" spans="1:31" ht="18" customHeight="1" thickBot="1">
      <c r="A1610" s="199" t="s">
        <v>364</v>
      </c>
      <c r="B1610" s="684" t="s">
        <v>15</v>
      </c>
      <c r="C1610" s="947">
        <f>CEILING(150*$Z$1,0.1)</f>
        <v>187.5</v>
      </c>
      <c r="D1610" s="957"/>
      <c r="E1610" s="947">
        <f>CEILING(155*$Z$1,0.1)</f>
        <v>193.8</v>
      </c>
      <c r="F1610" s="957"/>
      <c r="G1610" s="947">
        <f>CEILING(150*$Z$1,0.1)</f>
        <v>187.5</v>
      </c>
      <c r="H1610" s="957"/>
      <c r="I1610" s="286"/>
      <c r="J1610" s="273"/>
      <c r="K1610" s="273"/>
      <c r="L1610" s="273"/>
      <c r="M1610" s="136"/>
      <c r="N1610" s="136"/>
      <c r="O1610" s="136"/>
      <c r="P1610" s="136"/>
      <c r="Q1610" s="136"/>
      <c r="R1610" s="136"/>
      <c r="S1610" s="136"/>
      <c r="T1610" s="136"/>
      <c r="U1610" s="136"/>
      <c r="V1610" s="136"/>
      <c r="W1610" s="136"/>
      <c r="X1610" s="136"/>
      <c r="Y1610" s="136"/>
      <c r="Z1610" s="136"/>
      <c r="AA1610" s="136"/>
      <c r="AB1610" s="136"/>
      <c r="AC1610" s="136"/>
      <c r="AD1610" s="136"/>
      <c r="AE1610" s="136"/>
    </row>
    <row r="1611" spans="1:31" ht="15.75" customHeight="1" thickTop="1">
      <c r="A1611" s="432" t="s">
        <v>363</v>
      </c>
      <c r="B1611" s="72"/>
      <c r="C1611" s="72"/>
      <c r="D1611" s="72"/>
      <c r="E1611" s="72"/>
      <c r="F1611" s="72"/>
      <c r="G1611" s="72"/>
      <c r="H1611" s="72"/>
      <c r="I1611" s="286"/>
      <c r="J1611" s="273"/>
      <c r="K1611" s="273"/>
      <c r="L1611" s="273"/>
      <c r="M1611" s="136"/>
      <c r="N1611" s="136"/>
      <c r="O1611" s="136"/>
      <c r="P1611" s="136"/>
      <c r="Q1611" s="136"/>
      <c r="R1611" s="136"/>
      <c r="S1611" s="136"/>
      <c r="T1611" s="136"/>
      <c r="U1611" s="136"/>
      <c r="V1611" s="136"/>
      <c r="W1611" s="136"/>
      <c r="X1611" s="136"/>
      <c r="Y1611" s="136"/>
      <c r="Z1611" s="136"/>
      <c r="AA1611" s="136"/>
      <c r="AB1611" s="136"/>
      <c r="AC1611" s="136"/>
      <c r="AD1611" s="136"/>
      <c r="AE1611" s="136"/>
    </row>
    <row r="1612" spans="1:31" ht="15.75" customHeight="1" thickBot="1">
      <c r="A1612" s="432"/>
      <c r="B1612" s="10"/>
      <c r="C1612" s="10"/>
      <c r="D1612" s="10"/>
      <c r="E1612" s="10"/>
      <c r="F1612" s="10"/>
      <c r="G1612" s="10"/>
      <c r="H1612" s="10"/>
      <c r="I1612" s="286"/>
      <c r="J1612" s="273"/>
      <c r="K1612" s="273"/>
      <c r="L1612" s="273"/>
      <c r="M1612" s="136"/>
      <c r="N1612" s="136"/>
      <c r="O1612" s="136"/>
      <c r="P1612" s="136"/>
      <c r="Q1612" s="136"/>
      <c r="R1612" s="136"/>
      <c r="S1612" s="136"/>
      <c r="T1612" s="136"/>
      <c r="U1612" s="136"/>
      <c r="V1612" s="136"/>
      <c r="W1612" s="136"/>
      <c r="X1612" s="136"/>
      <c r="Y1612" s="136"/>
      <c r="Z1612" s="136"/>
      <c r="AA1612" s="136"/>
      <c r="AB1612" s="136"/>
      <c r="AC1612" s="136"/>
      <c r="AD1612" s="136"/>
      <c r="AE1612" s="136"/>
    </row>
    <row r="1613" spans="1:31" ht="27.75" customHeight="1" thickTop="1">
      <c r="A1613" s="695" t="s">
        <v>4</v>
      </c>
      <c r="B1613" s="818" t="s">
        <v>195</v>
      </c>
      <c r="C1613" s="945" t="s">
        <v>592</v>
      </c>
      <c r="D1613" s="946"/>
      <c r="E1613" s="945" t="s">
        <v>707</v>
      </c>
      <c r="F1613" s="946"/>
      <c r="G1613" s="945" t="s">
        <v>708</v>
      </c>
      <c r="H1613" s="946"/>
      <c r="I1613" s="286"/>
      <c r="J1613" s="273"/>
      <c r="K1613" s="273"/>
      <c r="L1613" s="273"/>
      <c r="M1613" s="136"/>
      <c r="N1613" s="136"/>
      <c r="O1613" s="136"/>
      <c r="P1613" s="136"/>
      <c r="Q1613" s="136"/>
      <c r="R1613" s="136"/>
      <c r="S1613" s="136"/>
      <c r="T1613" s="136"/>
      <c r="U1613" s="136"/>
      <c r="V1613" s="136"/>
      <c r="W1613" s="136"/>
      <c r="X1613" s="136"/>
      <c r="Y1613" s="136"/>
      <c r="Z1613" s="136"/>
      <c r="AA1613" s="136"/>
      <c r="AB1613" s="136"/>
      <c r="AC1613" s="136"/>
      <c r="AD1613" s="136"/>
      <c r="AE1613" s="136"/>
    </row>
    <row r="1614" spans="1:31" ht="15.75" customHeight="1">
      <c r="A1614" s="18" t="s">
        <v>711</v>
      </c>
      <c r="B1614" s="138" t="s">
        <v>11</v>
      </c>
      <c r="C1614" s="951">
        <f>CEILING(30*$Z$1,0.1)</f>
        <v>37.5</v>
      </c>
      <c r="D1614" s="954"/>
      <c r="E1614" s="951">
        <f>CEILING(36*$Z$1,0.1)</f>
        <v>45</v>
      </c>
      <c r="F1614" s="954"/>
      <c r="G1614" s="951">
        <f>CEILING(30*$Z$1,0.1)</f>
        <v>37.5</v>
      </c>
      <c r="H1614" s="954"/>
      <c r="I1614" s="298"/>
      <c r="J1614" s="273"/>
      <c r="K1614" s="273"/>
      <c r="L1614" s="273"/>
      <c r="M1614" s="136"/>
      <c r="N1614" s="136"/>
      <c r="O1614" s="136"/>
      <c r="P1614" s="136"/>
      <c r="Q1614" s="136"/>
      <c r="R1614" s="136"/>
      <c r="S1614" s="136"/>
      <c r="T1614" s="136"/>
      <c r="U1614" s="136"/>
      <c r="V1614" s="136"/>
      <c r="W1614" s="136"/>
      <c r="X1614" s="136"/>
      <c r="Y1614" s="136"/>
      <c r="Z1614" s="136"/>
      <c r="AA1614" s="136"/>
      <c r="AB1614" s="136"/>
      <c r="AC1614" s="136"/>
      <c r="AD1614" s="136"/>
      <c r="AE1614" s="136"/>
    </row>
    <row r="1615" spans="1:31" ht="15.75" customHeight="1">
      <c r="A1615" s="21" t="s">
        <v>24</v>
      </c>
      <c r="B1615" s="138" t="s">
        <v>7</v>
      </c>
      <c r="C1615" s="951">
        <f>CEILING((C1614+14*$Z$1),0.1)</f>
        <v>55</v>
      </c>
      <c r="D1615" s="952"/>
      <c r="E1615" s="951">
        <f>CEILING((E1614+14*$Z$1),0.1)</f>
        <v>62.5</v>
      </c>
      <c r="F1615" s="952"/>
      <c r="G1615" s="951">
        <f>CEILING((G1614+14*$Z$1),0.1)</f>
        <v>55</v>
      </c>
      <c r="H1615" s="952"/>
      <c r="I1615" s="286"/>
      <c r="J1615" s="273"/>
      <c r="K1615" s="273"/>
      <c r="L1615" s="273"/>
      <c r="M1615" s="136"/>
      <c r="N1615" s="136"/>
      <c r="O1615" s="136"/>
      <c r="P1615" s="136"/>
      <c r="Q1615" s="136"/>
      <c r="R1615" s="136"/>
      <c r="S1615" s="136"/>
      <c r="T1615" s="136"/>
      <c r="U1615" s="136"/>
      <c r="V1615" s="136"/>
      <c r="W1615" s="136"/>
      <c r="X1615" s="136"/>
      <c r="Y1615" s="136"/>
      <c r="Z1615" s="136"/>
      <c r="AA1615" s="136"/>
      <c r="AB1615" s="136"/>
      <c r="AC1615" s="136"/>
      <c r="AD1615" s="136"/>
      <c r="AE1615" s="136"/>
    </row>
    <row r="1616" spans="1:31" ht="15.75" customHeight="1">
      <c r="A1616" s="21"/>
      <c r="B1616" s="23" t="s">
        <v>69</v>
      </c>
      <c r="C1616" s="951">
        <f>CEILING((C1614*0.85),0.1)</f>
        <v>31.900000000000002</v>
      </c>
      <c r="D1616" s="952"/>
      <c r="E1616" s="951">
        <f>CEILING((E1614*0.85),0.1)</f>
        <v>38.300000000000004</v>
      </c>
      <c r="F1616" s="952"/>
      <c r="G1616" s="951">
        <f>CEILING((G1614*0.85),0.1)</f>
        <v>31.900000000000002</v>
      </c>
      <c r="H1616" s="952"/>
      <c r="I1616" s="286"/>
      <c r="J1616" s="273"/>
      <c r="K1616" s="273"/>
      <c r="L1616" s="273"/>
      <c r="M1616" s="136"/>
      <c r="N1616" s="136"/>
      <c r="O1616" s="136"/>
      <c r="P1616" s="136"/>
      <c r="Q1616" s="136"/>
      <c r="R1616" s="136"/>
      <c r="S1616" s="136"/>
      <c r="T1616" s="136"/>
      <c r="U1616" s="136"/>
      <c r="V1616" s="136"/>
      <c r="W1616" s="136"/>
      <c r="X1616" s="136"/>
      <c r="Y1616" s="136"/>
      <c r="Z1616" s="136"/>
      <c r="AA1616" s="136"/>
      <c r="AB1616" s="136"/>
      <c r="AC1616" s="136"/>
      <c r="AD1616" s="136"/>
      <c r="AE1616" s="136"/>
    </row>
    <row r="1617" spans="1:31" ht="15.75" customHeight="1" thickBot="1">
      <c r="A1617" s="63" t="s">
        <v>420</v>
      </c>
      <c r="B1617" s="311" t="s">
        <v>709</v>
      </c>
      <c r="C1617" s="1022">
        <v>0</v>
      </c>
      <c r="D1617" s="1023"/>
      <c r="E1617" s="1022">
        <v>0</v>
      </c>
      <c r="F1617" s="1023"/>
      <c r="G1617" s="1022">
        <v>0</v>
      </c>
      <c r="H1617" s="1023"/>
      <c r="I1617" s="286"/>
      <c r="J1617" s="273"/>
      <c r="K1617" s="273"/>
      <c r="L1617" s="273"/>
      <c r="M1617" s="136"/>
      <c r="N1617" s="136"/>
      <c r="O1617" s="136"/>
      <c r="P1617" s="136"/>
      <c r="Q1617" s="136"/>
      <c r="R1617" s="136"/>
      <c r="S1617" s="136"/>
      <c r="T1617" s="136"/>
      <c r="U1617" s="136"/>
      <c r="V1617" s="136"/>
      <c r="W1617" s="136"/>
      <c r="X1617" s="136"/>
      <c r="Y1617" s="136"/>
      <c r="Z1617" s="136"/>
      <c r="AA1617" s="136"/>
      <c r="AB1617" s="136"/>
      <c r="AC1617" s="136"/>
      <c r="AD1617" s="136"/>
      <c r="AE1617" s="136"/>
    </row>
    <row r="1618" spans="1:31" ht="15.75" customHeight="1" thickTop="1">
      <c r="A1618" s="432"/>
      <c r="B1618" s="1"/>
      <c r="C1618" s="7"/>
      <c r="D1618" s="7"/>
      <c r="E1618" s="7"/>
      <c r="F1618" s="7"/>
      <c r="G1618" s="7"/>
      <c r="H1618" s="7"/>
      <c r="I1618" s="286"/>
      <c r="J1618" s="273"/>
      <c r="K1618" s="273"/>
      <c r="L1618" s="273"/>
      <c r="M1618" s="136"/>
      <c r="N1618" s="136"/>
      <c r="O1618" s="136"/>
      <c r="P1618" s="136"/>
      <c r="Q1618" s="136"/>
      <c r="R1618" s="136"/>
      <c r="S1618" s="136"/>
      <c r="T1618" s="136"/>
      <c r="U1618" s="136"/>
      <c r="V1618" s="136"/>
      <c r="W1618" s="136"/>
      <c r="X1618" s="136"/>
      <c r="Y1618" s="136"/>
      <c r="Z1618" s="136"/>
      <c r="AA1618" s="136"/>
      <c r="AB1618" s="136"/>
      <c r="AC1618" s="136"/>
      <c r="AD1618" s="136"/>
      <c r="AE1618" s="136"/>
    </row>
    <row r="1619" spans="1:24" ht="18" customHeight="1">
      <c r="A1619" s="1015" t="s">
        <v>696</v>
      </c>
      <c r="B1619" s="1015"/>
      <c r="C1619" s="1015"/>
      <c r="D1619" s="1015"/>
      <c r="E1619" s="1015"/>
      <c r="F1619" s="1015"/>
      <c r="G1619" s="1015"/>
      <c r="H1619" s="1012"/>
      <c r="I1619" s="286"/>
      <c r="J1619" s="273"/>
      <c r="K1619" s="273"/>
      <c r="L1619" s="273"/>
      <c r="M1619" s="273"/>
      <c r="N1619" s="273"/>
      <c r="O1619" s="273"/>
      <c r="P1619" s="273"/>
      <c r="Q1619" s="273"/>
      <c r="R1619" s="273"/>
      <c r="S1619" s="273"/>
      <c r="T1619" s="273"/>
      <c r="U1619" s="273"/>
      <c r="V1619" s="273"/>
      <c r="W1619" s="273"/>
      <c r="X1619" s="273"/>
    </row>
    <row r="1620" spans="1:24" ht="21" customHeight="1">
      <c r="A1620" s="429"/>
      <c r="B1620" s="429"/>
      <c r="C1620" s="429"/>
      <c r="D1620" s="429"/>
      <c r="E1620" s="429"/>
      <c r="F1620" s="429"/>
      <c r="G1620" s="430"/>
      <c r="H1620" s="429"/>
      <c r="I1620" s="429"/>
      <c r="J1620" s="273"/>
      <c r="K1620" s="273"/>
      <c r="L1620" s="273"/>
      <c r="M1620" s="273"/>
      <c r="N1620" s="273"/>
      <c r="O1620" s="273"/>
      <c r="P1620" s="273"/>
      <c r="Q1620" s="273"/>
      <c r="R1620" s="273"/>
      <c r="S1620" s="273"/>
      <c r="T1620" s="273"/>
      <c r="U1620" s="273"/>
      <c r="V1620" s="273"/>
      <c r="W1620" s="273"/>
      <c r="X1620" s="273"/>
    </row>
    <row r="1621" spans="1:31" ht="18" customHeight="1">
      <c r="A1621" s="1164" t="s">
        <v>162</v>
      </c>
      <c r="B1621" s="1164"/>
      <c r="C1621" s="589"/>
      <c r="D1621" s="589"/>
      <c r="E1621" s="589"/>
      <c r="F1621" s="589"/>
      <c r="G1621" s="589"/>
      <c r="H1621" s="589"/>
      <c r="I1621" s="585"/>
      <c r="J1621" s="585"/>
      <c r="K1621" s="590"/>
      <c r="L1621" s="383"/>
      <c r="M1621" s="136"/>
      <c r="N1621" s="136"/>
      <c r="O1621" s="136"/>
      <c r="P1621" s="136"/>
      <c r="Q1621" s="136"/>
      <c r="R1621" s="136"/>
      <c r="S1621" s="136"/>
      <c r="T1621" s="136"/>
      <c r="U1621" s="136"/>
      <c r="V1621" s="136"/>
      <c r="W1621" s="136"/>
      <c r="X1621" s="136"/>
      <c r="Y1621" s="136"/>
      <c r="Z1621" s="136"/>
      <c r="AA1621" s="136"/>
      <c r="AB1621" s="136"/>
      <c r="AC1621" s="136"/>
      <c r="AD1621" s="136"/>
      <c r="AE1621" s="136"/>
    </row>
    <row r="1622" spans="1:31" ht="15.75" customHeight="1">
      <c r="A1622" s="1168" t="s">
        <v>216</v>
      </c>
      <c r="B1622" s="1168"/>
      <c r="C1622" s="589"/>
      <c r="D1622" s="589"/>
      <c r="E1622" s="589"/>
      <c r="F1622" s="589"/>
      <c r="G1622" s="589"/>
      <c r="H1622" s="589"/>
      <c r="I1622" s="585"/>
      <c r="J1622" s="585"/>
      <c r="K1622" s="590"/>
      <c r="L1622" s="383"/>
      <c r="M1622" s="136"/>
      <c r="N1622" s="136"/>
      <c r="O1622" s="136"/>
      <c r="P1622" s="136"/>
      <c r="Q1622" s="136"/>
      <c r="R1622" s="136"/>
      <c r="S1622" s="136"/>
      <c r="T1622" s="136"/>
      <c r="U1622" s="136"/>
      <c r="V1622" s="136"/>
      <c r="W1622" s="136"/>
      <c r="X1622" s="136"/>
      <c r="Y1622" s="136"/>
      <c r="Z1622" s="136"/>
      <c r="AA1622" s="136"/>
      <c r="AB1622" s="136"/>
      <c r="AC1622" s="136"/>
      <c r="AD1622" s="136"/>
      <c r="AE1622" s="136"/>
    </row>
    <row r="1623" spans="1:31" ht="20.25" customHeight="1">
      <c r="A1623" s="1108" t="s">
        <v>118</v>
      </c>
      <c r="B1623" s="1108"/>
      <c r="C1623" s="589"/>
      <c r="D1623" s="589"/>
      <c r="E1623" s="589"/>
      <c r="F1623" s="589"/>
      <c r="G1623" s="589"/>
      <c r="H1623" s="589"/>
      <c r="I1623" s="585"/>
      <c r="J1623" s="585"/>
      <c r="K1623" s="590"/>
      <c r="L1623" s="383"/>
      <c r="M1623" s="136"/>
      <c r="N1623" s="136"/>
      <c r="O1623" s="136"/>
      <c r="P1623" s="136"/>
      <c r="Q1623" s="136"/>
      <c r="R1623" s="136"/>
      <c r="S1623" s="136"/>
      <c r="T1623" s="136"/>
      <c r="U1623" s="136"/>
      <c r="V1623" s="136"/>
      <c r="W1623" s="136"/>
      <c r="X1623" s="136"/>
      <c r="Y1623" s="136"/>
      <c r="Z1623" s="136"/>
      <c r="AA1623" s="136"/>
      <c r="AB1623" s="136"/>
      <c r="AC1623" s="136"/>
      <c r="AD1623" s="136"/>
      <c r="AE1623" s="136"/>
    </row>
    <row r="1624" spans="1:31" ht="20.25" customHeight="1" thickBot="1">
      <c r="A1624" s="591"/>
      <c r="B1624" s="591"/>
      <c r="C1624" s="589"/>
      <c r="D1624" s="589"/>
      <c r="E1624" s="589"/>
      <c r="F1624" s="589"/>
      <c r="G1624" s="589"/>
      <c r="H1624" s="589"/>
      <c r="I1624" s="585"/>
      <c r="J1624" s="585"/>
      <c r="K1624" s="590"/>
      <c r="L1624" s="383"/>
      <c r="M1624" s="136"/>
      <c r="N1624" s="136"/>
      <c r="O1624" s="136"/>
      <c r="P1624" s="136"/>
      <c r="Q1624" s="136"/>
      <c r="R1624" s="136"/>
      <c r="S1624" s="136"/>
      <c r="T1624" s="136"/>
      <c r="U1624" s="136"/>
      <c r="V1624" s="136"/>
      <c r="W1624" s="136"/>
      <c r="X1624" s="136"/>
      <c r="Y1624" s="136"/>
      <c r="Z1624" s="136"/>
      <c r="AA1624" s="136"/>
      <c r="AB1624" s="136"/>
      <c r="AC1624" s="136"/>
      <c r="AD1624" s="136"/>
      <c r="AE1624" s="136"/>
    </row>
    <row r="1625" spans="1:31" ht="22.5" customHeight="1" thickBot="1">
      <c r="A1625" s="592" t="s">
        <v>319</v>
      </c>
      <c r="B1625" s="593"/>
      <c r="C1625" s="594"/>
      <c r="D1625" s="594"/>
      <c r="E1625" s="594"/>
      <c r="F1625" s="594"/>
      <c r="G1625" s="594"/>
      <c r="H1625" s="594"/>
      <c r="I1625" s="595"/>
      <c r="J1625" s="585"/>
      <c r="K1625" s="590"/>
      <c r="L1625" s="383"/>
      <c r="M1625" s="136"/>
      <c r="N1625" s="136"/>
      <c r="O1625" s="136"/>
      <c r="P1625" s="136"/>
      <c r="Q1625" s="136"/>
      <c r="R1625" s="136"/>
      <c r="S1625" s="136"/>
      <c r="T1625" s="136"/>
      <c r="U1625" s="136"/>
      <c r="V1625" s="136"/>
      <c r="W1625" s="136"/>
      <c r="X1625" s="136"/>
      <c r="Y1625" s="136"/>
      <c r="Z1625" s="136"/>
      <c r="AA1625" s="136"/>
      <c r="AB1625" s="136"/>
      <c r="AC1625" s="136"/>
      <c r="AD1625" s="136"/>
      <c r="AE1625" s="136"/>
    </row>
    <row r="1626" spans="1:31" ht="21" customHeight="1">
      <c r="A1626" s="1162" t="s">
        <v>0</v>
      </c>
      <c r="B1626" s="1163"/>
      <c r="C1626" s="1163"/>
      <c r="D1626" s="596"/>
      <c r="E1626" s="596"/>
      <c r="F1626" s="596"/>
      <c r="G1626" s="596"/>
      <c r="H1626" s="596"/>
      <c r="I1626" s="597"/>
      <c r="J1626" s="585"/>
      <c r="K1626" s="598"/>
      <c r="L1626" s="383"/>
      <c r="M1626" s="136"/>
      <c r="N1626" s="136"/>
      <c r="O1626" s="136"/>
      <c r="P1626" s="136"/>
      <c r="Q1626" s="136"/>
      <c r="R1626" s="136"/>
      <c r="S1626" s="136"/>
      <c r="T1626" s="136"/>
      <c r="U1626" s="136"/>
      <c r="V1626" s="136"/>
      <c r="W1626" s="136"/>
      <c r="X1626" s="136"/>
      <c r="Y1626" s="136"/>
      <c r="Z1626" s="136"/>
      <c r="AA1626" s="136"/>
      <c r="AB1626" s="136"/>
      <c r="AC1626" s="136"/>
      <c r="AD1626" s="136"/>
      <c r="AE1626" s="136"/>
    </row>
    <row r="1627" spans="1:31" ht="21" customHeight="1">
      <c r="A1627" s="1016" t="s">
        <v>73</v>
      </c>
      <c r="B1627" s="1017"/>
      <c r="C1627" s="1017"/>
      <c r="D1627" s="1017"/>
      <c r="E1627" s="1017"/>
      <c r="F1627" s="1017"/>
      <c r="G1627" s="1017"/>
      <c r="H1627" s="1017"/>
      <c r="I1627" s="1018"/>
      <c r="J1627" s="598"/>
      <c r="K1627" s="590"/>
      <c r="L1627" s="383"/>
      <c r="M1627" s="136"/>
      <c r="N1627" s="136"/>
      <c r="O1627" s="136"/>
      <c r="P1627" s="136"/>
      <c r="Q1627" s="136"/>
      <c r="R1627" s="136"/>
      <c r="S1627" s="136"/>
      <c r="T1627" s="136"/>
      <c r="U1627" s="136"/>
      <c r="V1627" s="136"/>
      <c r="W1627" s="136"/>
      <c r="X1627" s="136"/>
      <c r="Y1627" s="136"/>
      <c r="Z1627" s="136"/>
      <c r="AA1627" s="136"/>
      <c r="AB1627" s="136"/>
      <c r="AC1627" s="136"/>
      <c r="AD1627" s="136"/>
      <c r="AE1627" s="136"/>
    </row>
    <row r="1628" spans="1:31" ht="19.5" customHeight="1">
      <c r="A1628" s="1162" t="s">
        <v>1</v>
      </c>
      <c r="B1628" s="1163"/>
      <c r="C1628" s="1163"/>
      <c r="D1628" s="596"/>
      <c r="E1628" s="596"/>
      <c r="F1628" s="596"/>
      <c r="G1628" s="596"/>
      <c r="H1628" s="596"/>
      <c r="I1628" s="597"/>
      <c r="J1628" s="585"/>
      <c r="K1628" s="590"/>
      <c r="L1628" s="383"/>
      <c r="M1628" s="136"/>
      <c r="N1628" s="136"/>
      <c r="O1628" s="136"/>
      <c r="P1628" s="136"/>
      <c r="Q1628" s="136"/>
      <c r="R1628" s="136"/>
      <c r="S1628" s="136"/>
      <c r="T1628" s="136"/>
      <c r="U1628" s="136"/>
      <c r="V1628" s="136"/>
      <c r="W1628" s="136"/>
      <c r="X1628" s="136"/>
      <c r="Y1628" s="136"/>
      <c r="Z1628" s="136"/>
      <c r="AA1628" s="136"/>
      <c r="AB1628" s="136"/>
      <c r="AC1628" s="136"/>
      <c r="AD1628" s="136"/>
      <c r="AE1628" s="136"/>
    </row>
    <row r="1629" spans="1:31" ht="21" customHeight="1">
      <c r="A1629" s="1104" t="s">
        <v>728</v>
      </c>
      <c r="B1629" s="1105"/>
      <c r="C1629" s="1105"/>
      <c r="D1629" s="1105"/>
      <c r="E1629" s="1105"/>
      <c r="F1629" s="1105"/>
      <c r="G1629" s="1105"/>
      <c r="H1629" s="1105"/>
      <c r="I1629" s="597"/>
      <c r="J1629" s="585"/>
      <c r="K1629" s="599"/>
      <c r="L1629" s="383"/>
      <c r="M1629" s="136"/>
      <c r="N1629" s="136"/>
      <c r="O1629" s="136"/>
      <c r="P1629" s="136"/>
      <c r="Q1629" s="136"/>
      <c r="R1629" s="136"/>
      <c r="S1629" s="136"/>
      <c r="T1629" s="136"/>
      <c r="U1629" s="136"/>
      <c r="V1629" s="136"/>
      <c r="W1629" s="136"/>
      <c r="X1629" s="136"/>
      <c r="Y1629" s="136"/>
      <c r="Z1629" s="136"/>
      <c r="AA1629" s="136"/>
      <c r="AB1629" s="136"/>
      <c r="AC1629" s="136"/>
      <c r="AD1629" s="136"/>
      <c r="AE1629" s="136"/>
    </row>
    <row r="1630" spans="1:31" ht="37.5" customHeight="1" thickBot="1">
      <c r="A1630" s="1106" t="s">
        <v>320</v>
      </c>
      <c r="B1630" s="1107"/>
      <c r="C1630" s="1107"/>
      <c r="D1630" s="1107"/>
      <c r="E1630" s="1107"/>
      <c r="F1630" s="1107"/>
      <c r="G1630" s="1107"/>
      <c r="H1630" s="1107"/>
      <c r="I1630" s="600"/>
      <c r="J1630" s="599"/>
      <c r="K1630" s="601"/>
      <c r="L1630" s="383"/>
      <c r="M1630" s="136"/>
      <c r="N1630" s="136"/>
      <c r="O1630" s="136"/>
      <c r="P1630" s="136"/>
      <c r="Q1630" s="136"/>
      <c r="R1630" s="136"/>
      <c r="S1630" s="136"/>
      <c r="T1630" s="136"/>
      <c r="U1630" s="136"/>
      <c r="V1630" s="136"/>
      <c r="W1630" s="136"/>
      <c r="X1630" s="136"/>
      <c r="Y1630" s="136"/>
      <c r="Z1630" s="136"/>
      <c r="AA1630" s="136"/>
      <c r="AB1630" s="136"/>
      <c r="AC1630" s="136"/>
      <c r="AD1630" s="136"/>
      <c r="AE1630" s="136"/>
    </row>
    <row r="1631" spans="1:31" ht="38.25" customHeight="1">
      <c r="A1631" s="1025" t="s">
        <v>488</v>
      </c>
      <c r="B1631" s="1025"/>
      <c r="C1631" s="1025"/>
      <c r="D1631" s="1025"/>
      <c r="E1631" s="1025"/>
      <c r="F1631" s="1025"/>
      <c r="G1631" s="1025"/>
      <c r="H1631" s="1025"/>
      <c r="I1631" s="811"/>
      <c r="J1631" s="811"/>
      <c r="K1631" s="812"/>
      <c r="L1631" s="383"/>
      <c r="M1631" s="136"/>
      <c r="N1631" s="136"/>
      <c r="O1631" s="136"/>
      <c r="P1631" s="136"/>
      <c r="Q1631" s="136"/>
      <c r="R1631" s="136"/>
      <c r="S1631" s="136"/>
      <c r="T1631" s="136"/>
      <c r="U1631" s="136"/>
      <c r="V1631" s="136"/>
      <c r="W1631" s="136"/>
      <c r="X1631" s="136"/>
      <c r="Y1631" s="136"/>
      <c r="Z1631" s="136"/>
      <c r="AA1631" s="136"/>
      <c r="AB1631" s="136"/>
      <c r="AC1631" s="136"/>
      <c r="AD1631" s="136"/>
      <c r="AE1631" s="136"/>
    </row>
    <row r="1632" spans="1:31" ht="20.25" customHeight="1">
      <c r="A1632" s="1019" t="s">
        <v>758</v>
      </c>
      <c r="B1632" s="1019"/>
      <c r="C1632" s="1019"/>
      <c r="D1632" s="1019"/>
      <c r="E1632" s="1019"/>
      <c r="F1632" s="1019"/>
      <c r="G1632" s="1019"/>
      <c r="H1632" s="1019"/>
      <c r="I1632" s="1019"/>
      <c r="J1632" s="1019"/>
      <c r="K1632" s="812"/>
      <c r="L1632" s="383"/>
      <c r="M1632" s="136"/>
      <c r="N1632" s="136"/>
      <c r="O1632" s="136"/>
      <c r="P1632" s="136"/>
      <c r="Q1632" s="136"/>
      <c r="R1632" s="136"/>
      <c r="S1632" s="136"/>
      <c r="T1632" s="136"/>
      <c r="U1632" s="136"/>
      <c r="V1632" s="136"/>
      <c r="W1632" s="136"/>
      <c r="X1632" s="136"/>
      <c r="Y1632" s="136"/>
      <c r="Z1632" s="136"/>
      <c r="AA1632" s="136"/>
      <c r="AB1632" s="136"/>
      <c r="AC1632" s="136"/>
      <c r="AD1632" s="136"/>
      <c r="AE1632" s="136"/>
    </row>
    <row r="1633" spans="1:31" ht="24" customHeight="1">
      <c r="A1633" s="1019" t="s">
        <v>759</v>
      </c>
      <c r="B1633" s="1019"/>
      <c r="C1633" s="1019"/>
      <c r="D1633" s="1019"/>
      <c r="E1633" s="1019"/>
      <c r="F1633" s="1019"/>
      <c r="G1633" s="1019"/>
      <c r="H1633" s="1019"/>
      <c r="I1633" s="1019"/>
      <c r="J1633" s="1019"/>
      <c r="K1633" s="812"/>
      <c r="L1633" s="383"/>
      <c r="M1633" s="136"/>
      <c r="N1633" s="136"/>
      <c r="O1633" s="136"/>
      <c r="P1633" s="136"/>
      <c r="Q1633" s="136"/>
      <c r="R1633" s="136"/>
      <c r="S1633" s="136"/>
      <c r="T1633" s="136"/>
      <c r="U1633" s="136"/>
      <c r="V1633" s="136"/>
      <c r="W1633" s="136"/>
      <c r="X1633" s="136"/>
      <c r="Y1633" s="136"/>
      <c r="Z1633" s="136"/>
      <c r="AA1633" s="136"/>
      <c r="AB1633" s="136"/>
      <c r="AC1633" s="136"/>
      <c r="AD1633" s="136"/>
      <c r="AE1633" s="136"/>
    </row>
    <row r="1634" spans="1:31" ht="21.75" customHeight="1">
      <c r="A1634" s="1019" t="s">
        <v>760</v>
      </c>
      <c r="B1634" s="1019"/>
      <c r="C1634" s="1019"/>
      <c r="D1634" s="1019"/>
      <c r="E1634" s="1019"/>
      <c r="F1634" s="1019"/>
      <c r="G1634" s="1019"/>
      <c r="H1634" s="1019"/>
      <c r="I1634" s="1019"/>
      <c r="J1634" s="1019"/>
      <c r="K1634" s="812"/>
      <c r="L1634" s="383"/>
      <c r="M1634" s="136"/>
      <c r="N1634" s="136"/>
      <c r="O1634" s="136"/>
      <c r="P1634" s="136"/>
      <c r="Q1634" s="136"/>
      <c r="R1634" s="136"/>
      <c r="S1634" s="136"/>
      <c r="T1634" s="136"/>
      <c r="U1634" s="136"/>
      <c r="V1634" s="136"/>
      <c r="W1634" s="136"/>
      <c r="X1634" s="136"/>
      <c r="Y1634" s="136"/>
      <c r="Z1634" s="136"/>
      <c r="AA1634" s="136"/>
      <c r="AB1634" s="136"/>
      <c r="AC1634" s="136"/>
      <c r="AD1634" s="136"/>
      <c r="AE1634" s="136"/>
    </row>
    <row r="1635" spans="1:31" ht="23.25" customHeight="1">
      <c r="A1635" s="1019" t="s">
        <v>761</v>
      </c>
      <c r="B1635" s="1019"/>
      <c r="C1635" s="1019"/>
      <c r="D1635" s="1019"/>
      <c r="E1635" s="1019"/>
      <c r="F1635" s="1019"/>
      <c r="G1635" s="1019"/>
      <c r="H1635" s="1019"/>
      <c r="I1635" s="1019"/>
      <c r="J1635" s="1019"/>
      <c r="K1635" s="812"/>
      <c r="L1635" s="383"/>
      <c r="M1635" s="136"/>
      <c r="N1635" s="136"/>
      <c r="O1635" s="136"/>
      <c r="P1635" s="136"/>
      <c r="Q1635" s="136"/>
      <c r="R1635" s="136"/>
      <c r="S1635" s="136"/>
      <c r="T1635" s="136"/>
      <c r="U1635" s="136"/>
      <c r="V1635" s="136"/>
      <c r="W1635" s="136"/>
      <c r="X1635" s="136"/>
      <c r="Y1635" s="136"/>
      <c r="Z1635" s="136"/>
      <c r="AA1635" s="136"/>
      <c r="AB1635" s="136"/>
      <c r="AC1635" s="136"/>
      <c r="AD1635" s="136"/>
      <c r="AE1635" s="136"/>
    </row>
    <row r="1636" spans="1:31" ht="20.25" customHeight="1">
      <c r="A1636" s="1019" t="s">
        <v>762</v>
      </c>
      <c r="B1636" s="1019"/>
      <c r="C1636" s="1019"/>
      <c r="D1636" s="1019"/>
      <c r="E1636" s="1019"/>
      <c r="F1636" s="1019"/>
      <c r="G1636" s="1019"/>
      <c r="H1636" s="1019"/>
      <c r="I1636" s="1019"/>
      <c r="J1636" s="1019"/>
      <c r="K1636" s="812"/>
      <c r="L1636" s="383"/>
      <c r="M1636" s="136"/>
      <c r="N1636" s="136"/>
      <c r="O1636" s="136"/>
      <c r="P1636" s="136"/>
      <c r="Q1636" s="136"/>
      <c r="R1636" s="136"/>
      <c r="S1636" s="136"/>
      <c r="T1636" s="136"/>
      <c r="U1636" s="136"/>
      <c r="V1636" s="136"/>
      <c r="W1636" s="136"/>
      <c r="X1636" s="136"/>
      <c r="Y1636" s="136"/>
      <c r="Z1636" s="136"/>
      <c r="AA1636" s="136"/>
      <c r="AB1636" s="136"/>
      <c r="AC1636" s="136"/>
      <c r="AD1636" s="136"/>
      <c r="AE1636" s="136"/>
    </row>
    <row r="1637" spans="1:31" ht="18" customHeight="1">
      <c r="A1637" s="273"/>
      <c r="B1637" s="273"/>
      <c r="C1637" s="273"/>
      <c r="D1637" s="273"/>
      <c r="E1637" s="273"/>
      <c r="F1637" s="273"/>
      <c r="G1637" s="273"/>
      <c r="H1637" s="273"/>
      <c r="I1637" s="273"/>
      <c r="J1637" s="273"/>
      <c r="K1637" s="273"/>
      <c r="L1637" s="273"/>
      <c r="M1637" s="273"/>
      <c r="N1637" s="273"/>
      <c r="O1637" s="273"/>
      <c r="P1637" s="273"/>
      <c r="Q1637" s="273"/>
      <c r="R1637" s="273"/>
      <c r="S1637" s="273"/>
      <c r="T1637" s="273"/>
      <c r="AE1637" s="136"/>
    </row>
    <row r="1638" spans="1:24" ht="21" customHeight="1">
      <c r="A1638" s="707" t="s">
        <v>581</v>
      </c>
      <c r="B1638" s="273"/>
      <c r="C1638" s="273"/>
      <c r="D1638" s="273"/>
      <c r="E1638" s="273"/>
      <c r="F1638" s="273"/>
      <c r="G1638" s="286"/>
      <c r="H1638" s="286"/>
      <c r="I1638" s="273"/>
      <c r="J1638" s="273"/>
      <c r="K1638" s="273"/>
      <c r="L1638" s="273"/>
      <c r="M1638" s="273"/>
      <c r="N1638" s="273"/>
      <c r="O1638" s="273"/>
      <c r="P1638" s="273"/>
      <c r="Q1638" s="273"/>
      <c r="R1638" s="273"/>
      <c r="S1638" s="273"/>
      <c r="T1638" s="273"/>
      <c r="U1638" s="273"/>
      <c r="V1638" s="273"/>
      <c r="W1638" s="273"/>
      <c r="X1638" s="273"/>
    </row>
    <row r="1639" spans="1:24" ht="24" customHeight="1">
      <c r="A1639" s="1009" t="s">
        <v>582</v>
      </c>
      <c r="B1639" s="1009"/>
      <c r="C1639" s="1009"/>
      <c r="D1639" s="1009"/>
      <c r="E1639" s="1009"/>
      <c r="F1639" s="1009"/>
      <c r="G1639" s="1009"/>
      <c r="H1639" s="1009"/>
      <c r="I1639" s="273"/>
      <c r="J1639" s="273"/>
      <c r="K1639" s="273"/>
      <c r="L1639" s="273"/>
      <c r="M1639" s="273"/>
      <c r="N1639" s="273"/>
      <c r="O1639" s="273"/>
      <c r="P1639" s="273"/>
      <c r="Q1639" s="273"/>
      <c r="R1639" s="273"/>
      <c r="S1639" s="273"/>
      <c r="T1639" s="273"/>
      <c r="U1639" s="273"/>
      <c r="V1639" s="273"/>
      <c r="W1639" s="273"/>
      <c r="X1639" s="273"/>
    </row>
    <row r="1640" spans="1:24" ht="27" customHeight="1">
      <c r="A1640" s="1009" t="s">
        <v>583</v>
      </c>
      <c r="B1640" s="1009"/>
      <c r="C1640" s="1009"/>
      <c r="D1640" s="1009"/>
      <c r="E1640" s="1009"/>
      <c r="F1640" s="1009"/>
      <c r="G1640" s="1009"/>
      <c r="H1640" s="1009"/>
      <c r="I1640" s="273"/>
      <c r="J1640" s="273"/>
      <c r="K1640" s="273"/>
      <c r="L1640" s="273"/>
      <c r="M1640" s="273"/>
      <c r="N1640" s="273"/>
      <c r="O1640" s="273"/>
      <c r="P1640" s="273"/>
      <c r="Q1640" s="273"/>
      <c r="R1640" s="273"/>
      <c r="S1640" s="273"/>
      <c r="T1640" s="273"/>
      <c r="U1640" s="273"/>
      <c r="V1640" s="273"/>
      <c r="W1640" s="273"/>
      <c r="X1640" s="273"/>
    </row>
    <row r="1641" spans="1:24" ht="24" customHeight="1">
      <c r="A1641" s="1009" t="s">
        <v>712</v>
      </c>
      <c r="B1641" s="1009"/>
      <c r="C1641" s="1009"/>
      <c r="D1641" s="1009"/>
      <c r="E1641" s="1009"/>
      <c r="F1641" s="1009"/>
      <c r="G1641" s="1009"/>
      <c r="H1641" s="1009"/>
      <c r="I1641" s="1024"/>
      <c r="J1641" s="1024"/>
      <c r="K1641" s="273"/>
      <c r="L1641" s="273"/>
      <c r="M1641" s="273"/>
      <c r="N1641" s="273"/>
      <c r="O1641" s="273"/>
      <c r="P1641" s="273"/>
      <c r="Q1641" s="273"/>
      <c r="R1641" s="273"/>
      <c r="S1641" s="273"/>
      <c r="T1641" s="273"/>
      <c r="U1641" s="273"/>
      <c r="V1641" s="273"/>
      <c r="W1641" s="273"/>
      <c r="X1641" s="273"/>
    </row>
    <row r="1642" spans="1:24" ht="24.75" customHeight="1">
      <c r="A1642" s="1009" t="s">
        <v>713</v>
      </c>
      <c r="B1642" s="1009"/>
      <c r="C1642" s="1009"/>
      <c r="D1642" s="1009"/>
      <c r="E1642" s="1009"/>
      <c r="F1642" s="1009"/>
      <c r="G1642" s="1009"/>
      <c r="H1642" s="1009"/>
      <c r="I1642" s="1024"/>
      <c r="J1642" s="1024"/>
      <c r="K1642" s="1024"/>
      <c r="L1642" s="273"/>
      <c r="M1642" s="273"/>
      <c r="N1642" s="273"/>
      <c r="O1642" s="273"/>
      <c r="P1642" s="273"/>
      <c r="Q1642" s="273"/>
      <c r="R1642" s="273"/>
      <c r="S1642" s="273"/>
      <c r="T1642" s="273"/>
      <c r="U1642" s="273"/>
      <c r="V1642" s="273"/>
      <c r="W1642" s="273"/>
      <c r="X1642" s="273"/>
    </row>
    <row r="1643" spans="1:24" ht="21" customHeight="1">
      <c r="A1643" s="886"/>
      <c r="B1643" s="886"/>
      <c r="C1643" s="886"/>
      <c r="D1643" s="886"/>
      <c r="E1643" s="886"/>
      <c r="F1643" s="886"/>
      <c r="G1643" s="886"/>
      <c r="H1643" s="886"/>
      <c r="I1643" s="497"/>
      <c r="J1643" s="273"/>
      <c r="K1643" s="273"/>
      <c r="L1643" s="273"/>
      <c r="M1643" s="273"/>
      <c r="N1643" s="273"/>
      <c r="O1643" s="273"/>
      <c r="P1643" s="273"/>
      <c r="Q1643" s="273"/>
      <c r="R1643" s="273"/>
      <c r="S1643" s="273"/>
      <c r="T1643" s="273"/>
      <c r="U1643" s="273"/>
      <c r="V1643" s="273"/>
      <c r="W1643" s="273"/>
      <c r="X1643" s="273"/>
    </row>
    <row r="1644" spans="1:24" ht="21" customHeight="1">
      <c r="A1644" s="886" t="s">
        <v>714</v>
      </c>
      <c r="B1644" s="886"/>
      <c r="C1644" s="886"/>
      <c r="D1644" s="886"/>
      <c r="E1644" s="886"/>
      <c r="F1644" s="886"/>
      <c r="G1644" s="819"/>
      <c r="H1644" s="819"/>
      <c r="I1644" s="273"/>
      <c r="J1644" s="273"/>
      <c r="K1644" s="273"/>
      <c r="L1644" s="273"/>
      <c r="M1644" s="273"/>
      <c r="N1644" s="273"/>
      <c r="O1644" s="273"/>
      <c r="P1644" s="273"/>
      <c r="Q1644" s="273"/>
      <c r="R1644" s="273"/>
      <c r="S1644" s="273"/>
      <c r="T1644" s="273"/>
      <c r="U1644" s="273"/>
      <c r="V1644" s="273"/>
      <c r="W1644" s="273"/>
      <c r="X1644" s="273"/>
    </row>
    <row r="1645" spans="1:24" ht="21.75" customHeight="1">
      <c r="A1645" s="886" t="s">
        <v>715</v>
      </c>
      <c r="B1645" s="886"/>
      <c r="C1645" s="886"/>
      <c r="D1645" s="886"/>
      <c r="E1645" s="886"/>
      <c r="F1645" s="886"/>
      <c r="G1645" s="819"/>
      <c r="H1645" s="819"/>
      <c r="I1645" s="273"/>
      <c r="J1645" s="273"/>
      <c r="K1645" s="273"/>
      <c r="L1645" s="273"/>
      <c r="M1645" s="273"/>
      <c r="N1645" s="273"/>
      <c r="O1645" s="273"/>
      <c r="P1645" s="273"/>
      <c r="Q1645" s="273"/>
      <c r="R1645" s="273"/>
      <c r="S1645" s="273"/>
      <c r="T1645" s="273"/>
      <c r="U1645" s="273"/>
      <c r="V1645" s="273"/>
      <c r="W1645" s="273"/>
      <c r="X1645" s="273"/>
    </row>
    <row r="1646" spans="1:24" ht="24" customHeight="1">
      <c r="A1646" s="886" t="s">
        <v>716</v>
      </c>
      <c r="B1646" s="886"/>
      <c r="C1646" s="886"/>
      <c r="D1646" s="886"/>
      <c r="E1646" s="886"/>
      <c r="F1646" s="886"/>
      <c r="G1646" s="819"/>
      <c r="H1646" s="819"/>
      <c r="I1646" s="273"/>
      <c r="J1646" s="273"/>
      <c r="K1646" s="273"/>
      <c r="L1646" s="273"/>
      <c r="M1646" s="273"/>
      <c r="N1646" s="273"/>
      <c r="O1646" s="273"/>
      <c r="P1646" s="273"/>
      <c r="Q1646" s="273"/>
      <c r="R1646" s="273"/>
      <c r="S1646" s="273"/>
      <c r="T1646" s="273"/>
      <c r="U1646" s="273"/>
      <c r="V1646" s="273"/>
      <c r="W1646" s="273"/>
      <c r="X1646" s="273"/>
    </row>
    <row r="1647" spans="1:24" ht="24" customHeight="1">
      <c r="A1647" s="886" t="s">
        <v>717</v>
      </c>
      <c r="B1647" s="273"/>
      <c r="C1647" s="273"/>
      <c r="D1647" s="273"/>
      <c r="E1647" s="273"/>
      <c r="F1647" s="273"/>
      <c r="G1647" s="273"/>
      <c r="H1647" s="273"/>
      <c r="I1647" s="273"/>
      <c r="J1647" s="273"/>
      <c r="K1647" s="273"/>
      <c r="L1647" s="273"/>
      <c r="M1647" s="273"/>
      <c r="N1647" s="273"/>
      <c r="O1647" s="273"/>
      <c r="P1647" s="273"/>
      <c r="Q1647" s="273"/>
      <c r="R1647" s="273"/>
      <c r="S1647" s="273"/>
      <c r="T1647" s="273"/>
      <c r="U1647" s="273"/>
      <c r="V1647" s="273"/>
      <c r="W1647" s="273"/>
      <c r="X1647" s="273"/>
    </row>
    <row r="1648" spans="1:24" ht="18" customHeight="1">
      <c r="A1648" s="273"/>
      <c r="B1648" s="273"/>
      <c r="C1648" s="273"/>
      <c r="D1648" s="273"/>
      <c r="E1648" s="273"/>
      <c r="F1648" s="273"/>
      <c r="G1648" s="273"/>
      <c r="H1648" s="273"/>
      <c r="I1648" s="273"/>
      <c r="J1648" s="273"/>
      <c r="K1648" s="273"/>
      <c r="L1648" s="273"/>
      <c r="M1648" s="273"/>
      <c r="N1648" s="273"/>
      <c r="O1648" s="273"/>
      <c r="P1648" s="273"/>
      <c r="Q1648" s="273"/>
      <c r="R1648" s="273"/>
      <c r="S1648" s="273"/>
      <c r="T1648" s="273"/>
      <c r="U1648" s="273"/>
      <c r="V1648" s="273"/>
      <c r="W1648" s="273"/>
      <c r="X1648" s="273"/>
    </row>
    <row r="1649" spans="1:24" ht="21" customHeight="1">
      <c r="A1649" s="707" t="s">
        <v>718</v>
      </c>
      <c r="B1649" s="273"/>
      <c r="C1649" s="273"/>
      <c r="D1649" s="273"/>
      <c r="E1649" s="273"/>
      <c r="F1649" s="273"/>
      <c r="G1649" s="286"/>
      <c r="H1649" s="286"/>
      <c r="I1649" s="273"/>
      <c r="J1649" s="273"/>
      <c r="K1649" s="273"/>
      <c r="L1649" s="273"/>
      <c r="M1649" s="273"/>
      <c r="N1649" s="273"/>
      <c r="O1649" s="273"/>
      <c r="P1649" s="273"/>
      <c r="Q1649" s="273"/>
      <c r="R1649" s="273"/>
      <c r="S1649" s="273"/>
      <c r="T1649" s="273"/>
      <c r="U1649" s="273"/>
      <c r="V1649" s="273"/>
      <c r="W1649" s="273"/>
      <c r="X1649" s="273"/>
    </row>
    <row r="1650" spans="1:31" ht="20.25" customHeight="1">
      <c r="A1650" s="1009" t="s">
        <v>719</v>
      </c>
      <c r="B1650" s="1009"/>
      <c r="C1650" s="1009"/>
      <c r="D1650" s="1009"/>
      <c r="E1650" s="1009"/>
      <c r="F1650" s="1009"/>
      <c r="G1650" s="1009"/>
      <c r="H1650" s="1009"/>
      <c r="I1650" s="273"/>
      <c r="J1650" s="273"/>
      <c r="K1650" s="273"/>
      <c r="L1650" s="273"/>
      <c r="M1650" s="273"/>
      <c r="N1650" s="273"/>
      <c r="O1650" s="273"/>
      <c r="P1650" s="273"/>
      <c r="Q1650" s="273"/>
      <c r="R1650" s="273"/>
      <c r="S1650" s="273"/>
      <c r="T1650" s="273"/>
      <c r="U1650" s="273"/>
      <c r="AE1650" s="136"/>
    </row>
    <row r="1651" spans="1:20" ht="19.5" customHeight="1">
      <c r="A1651" s="1009" t="s">
        <v>720</v>
      </c>
      <c r="B1651" s="1009"/>
      <c r="C1651" s="1009"/>
      <c r="D1651" s="1009"/>
      <c r="E1651" s="1009"/>
      <c r="F1651" s="1009"/>
      <c r="G1651" s="1009"/>
      <c r="H1651" s="1009"/>
      <c r="I1651" s="273"/>
      <c r="J1651" s="273"/>
      <c r="K1651" s="273"/>
      <c r="L1651" s="273"/>
      <c r="M1651" s="273"/>
      <c r="N1651" s="273"/>
      <c r="O1651" s="273"/>
      <c r="P1651" s="273"/>
      <c r="Q1651" s="273"/>
      <c r="R1651" s="273"/>
      <c r="S1651" s="273"/>
      <c r="T1651" s="273"/>
    </row>
    <row r="1652" spans="1:20" ht="20.25" customHeight="1">
      <c r="A1652" s="1009" t="s">
        <v>721</v>
      </c>
      <c r="B1652" s="1009"/>
      <c r="C1652" s="1009"/>
      <c r="D1652" s="1009"/>
      <c r="E1652" s="1009"/>
      <c r="F1652" s="1009"/>
      <c r="G1652" s="1009"/>
      <c r="H1652" s="1009"/>
      <c r="I1652" s="273"/>
      <c r="J1652" s="273"/>
      <c r="K1652" s="273"/>
      <c r="L1652" s="273"/>
      <c r="M1652" s="273"/>
      <c r="N1652" s="273"/>
      <c r="O1652" s="273"/>
      <c r="P1652" s="273"/>
      <c r="Q1652" s="273"/>
      <c r="R1652" s="273"/>
      <c r="S1652" s="273"/>
      <c r="T1652" s="273"/>
    </row>
    <row r="1653" spans="1:20" ht="21.75" customHeight="1">
      <c r="A1653" s="1009" t="s">
        <v>722</v>
      </c>
      <c r="B1653" s="1009"/>
      <c r="C1653" s="1009"/>
      <c r="D1653" s="1009"/>
      <c r="E1653" s="1009"/>
      <c r="F1653" s="1009"/>
      <c r="G1653" s="1009"/>
      <c r="H1653" s="1009"/>
      <c r="I1653" s="273"/>
      <c r="J1653" s="273"/>
      <c r="K1653" s="273"/>
      <c r="L1653" s="273"/>
      <c r="M1653" s="273"/>
      <c r="N1653" s="273"/>
      <c r="O1653" s="273"/>
      <c r="P1653" s="273"/>
      <c r="Q1653" s="273"/>
      <c r="R1653" s="273"/>
      <c r="S1653" s="273"/>
      <c r="T1653" s="273"/>
    </row>
    <row r="1654" spans="1:20" ht="12.75">
      <c r="A1654" s="273"/>
      <c r="B1654" s="273"/>
      <c r="C1654" s="273"/>
      <c r="D1654" s="273"/>
      <c r="E1654" s="273"/>
      <c r="F1654" s="273"/>
      <c r="G1654" s="273"/>
      <c r="H1654" s="273"/>
      <c r="I1654" s="273"/>
      <c r="J1654" s="273"/>
      <c r="K1654" s="273"/>
      <c r="L1654" s="273"/>
      <c r="M1654" s="273"/>
      <c r="N1654" s="273"/>
      <c r="O1654" s="273"/>
      <c r="P1654" s="273"/>
      <c r="Q1654" s="273"/>
      <c r="R1654" s="273"/>
      <c r="S1654" s="273"/>
      <c r="T1654" s="273"/>
    </row>
    <row r="1655" spans="1:20" ht="15.75">
      <c r="A1655" s="707" t="s">
        <v>723</v>
      </c>
      <c r="B1655" s="273"/>
      <c r="C1655" s="273"/>
      <c r="D1655" s="273"/>
      <c r="E1655" s="273"/>
      <c r="F1655" s="273"/>
      <c r="G1655" s="286"/>
      <c r="H1655" s="286"/>
      <c r="I1655" s="273"/>
      <c r="J1655" s="273"/>
      <c r="K1655" s="273"/>
      <c r="L1655" s="273"/>
      <c r="M1655" s="273"/>
      <c r="N1655" s="273"/>
      <c r="O1655" s="273"/>
      <c r="P1655" s="273"/>
      <c r="Q1655" s="273"/>
      <c r="R1655" s="273"/>
      <c r="S1655" s="273"/>
      <c r="T1655" s="273"/>
    </row>
    <row r="1656" spans="1:20" ht="20.25" customHeight="1">
      <c r="A1656" s="1009" t="s">
        <v>724</v>
      </c>
      <c r="B1656" s="1009"/>
      <c r="C1656" s="1009"/>
      <c r="D1656" s="1009"/>
      <c r="E1656" s="1009"/>
      <c r="F1656" s="1009"/>
      <c r="G1656" s="1009"/>
      <c r="H1656" s="1009"/>
      <c r="I1656" s="273"/>
      <c r="J1656" s="273"/>
      <c r="K1656" s="273"/>
      <c r="L1656" s="273"/>
      <c r="M1656" s="273"/>
      <c r="N1656" s="273"/>
      <c r="O1656" s="273"/>
      <c r="P1656" s="273"/>
      <c r="Q1656" s="273"/>
      <c r="R1656" s="273"/>
      <c r="S1656" s="273"/>
      <c r="T1656" s="273"/>
    </row>
    <row r="1657" spans="1:20" ht="18.75" customHeight="1">
      <c r="A1657" s="1009" t="s">
        <v>725</v>
      </c>
      <c r="B1657" s="1009"/>
      <c r="C1657" s="1009"/>
      <c r="D1657" s="1009"/>
      <c r="E1657" s="1009"/>
      <c r="F1657" s="1009"/>
      <c r="G1657" s="1009"/>
      <c r="H1657" s="1009"/>
      <c r="I1657" s="273"/>
      <c r="J1657" s="273"/>
      <c r="K1657" s="273"/>
      <c r="L1657" s="273"/>
      <c r="M1657" s="273"/>
      <c r="N1657" s="273"/>
      <c r="O1657" s="273"/>
      <c r="P1657" s="273"/>
      <c r="Q1657" s="273"/>
      <c r="R1657" s="273"/>
      <c r="S1657" s="273"/>
      <c r="T1657" s="273"/>
    </row>
    <row r="1658" spans="1:20" ht="18" customHeight="1">
      <c r="A1658" s="1009" t="s">
        <v>726</v>
      </c>
      <c r="B1658" s="1009"/>
      <c r="C1658" s="1009"/>
      <c r="D1658" s="1009"/>
      <c r="E1658" s="1009"/>
      <c r="F1658" s="1009"/>
      <c r="G1658" s="1009"/>
      <c r="H1658" s="1009"/>
      <c r="I1658" s="273"/>
      <c r="J1658" s="273"/>
      <c r="K1658" s="273"/>
      <c r="L1658" s="273"/>
      <c r="M1658" s="273"/>
      <c r="N1658" s="273"/>
      <c r="O1658" s="273"/>
      <c r="P1658" s="273"/>
      <c r="Q1658" s="273"/>
      <c r="R1658" s="273"/>
      <c r="S1658" s="273"/>
      <c r="T1658" s="273"/>
    </row>
    <row r="1659" spans="1:20" ht="19.5" customHeight="1">
      <c r="A1659" s="1009" t="s">
        <v>727</v>
      </c>
      <c r="B1659" s="1009"/>
      <c r="C1659" s="1009"/>
      <c r="D1659" s="1009"/>
      <c r="E1659" s="1009"/>
      <c r="F1659" s="1009"/>
      <c r="G1659" s="1009"/>
      <c r="H1659" s="1009"/>
      <c r="I1659" s="273"/>
      <c r="J1659" s="273"/>
      <c r="K1659" s="273"/>
      <c r="L1659" s="273"/>
      <c r="M1659" s="273"/>
      <c r="N1659" s="273"/>
      <c r="O1659" s="273"/>
      <c r="P1659" s="273"/>
      <c r="Q1659" s="273"/>
      <c r="R1659" s="273"/>
      <c r="S1659" s="273"/>
      <c r="T1659" s="273"/>
    </row>
    <row r="1660" spans="1:20" ht="12.75">
      <c r="A1660" s="273"/>
      <c r="B1660" s="273"/>
      <c r="C1660" s="273"/>
      <c r="D1660" s="273"/>
      <c r="E1660" s="273"/>
      <c r="F1660" s="273"/>
      <c r="G1660" s="273"/>
      <c r="H1660" s="273"/>
      <c r="I1660" s="273"/>
      <c r="J1660" s="273"/>
      <c r="K1660" s="273"/>
      <c r="L1660" s="273"/>
      <c r="M1660" s="273"/>
      <c r="N1660" s="273"/>
      <c r="O1660" s="273"/>
      <c r="P1660" s="273"/>
      <c r="Q1660" s="273"/>
      <c r="R1660" s="273"/>
      <c r="S1660" s="273"/>
      <c r="T1660" s="273"/>
    </row>
    <row r="1661" spans="1:20" ht="12.75">
      <c r="A1661" s="273"/>
      <c r="B1661" s="273"/>
      <c r="C1661" s="273"/>
      <c r="D1661" s="273"/>
      <c r="E1661" s="273"/>
      <c r="F1661" s="273"/>
      <c r="G1661" s="273"/>
      <c r="H1661" s="273"/>
      <c r="I1661" s="273"/>
      <c r="J1661" s="273"/>
      <c r="K1661" s="273"/>
      <c r="L1661" s="273"/>
      <c r="M1661" s="273"/>
      <c r="N1661" s="273"/>
      <c r="O1661" s="273"/>
      <c r="P1661" s="273"/>
      <c r="Q1661" s="273"/>
      <c r="R1661" s="273"/>
      <c r="S1661" s="273"/>
      <c r="T1661" s="273"/>
    </row>
    <row r="1662" spans="1:20" ht="12.75">
      <c r="A1662" s="273"/>
      <c r="B1662" s="273"/>
      <c r="C1662" s="273"/>
      <c r="D1662" s="273"/>
      <c r="E1662" s="273"/>
      <c r="F1662" s="273"/>
      <c r="G1662" s="273"/>
      <c r="H1662" s="273"/>
      <c r="I1662" s="273"/>
      <c r="J1662" s="273"/>
      <c r="K1662" s="273"/>
      <c r="L1662" s="273"/>
      <c r="M1662" s="273"/>
      <c r="N1662" s="273"/>
      <c r="O1662" s="273"/>
      <c r="P1662" s="273"/>
      <c r="Q1662" s="273"/>
      <c r="R1662" s="273"/>
      <c r="S1662" s="273"/>
      <c r="T1662" s="273"/>
    </row>
    <row r="1663" spans="1:20" ht="12.75">
      <c r="A1663" s="273"/>
      <c r="B1663" s="273"/>
      <c r="C1663" s="273"/>
      <c r="D1663" s="273"/>
      <c r="E1663" s="273"/>
      <c r="F1663" s="273"/>
      <c r="G1663" s="273"/>
      <c r="H1663" s="273"/>
      <c r="I1663" s="273"/>
      <c r="J1663" s="273"/>
      <c r="K1663" s="273"/>
      <c r="L1663" s="273"/>
      <c r="M1663" s="273"/>
      <c r="N1663" s="273"/>
      <c r="O1663" s="273"/>
      <c r="P1663" s="273"/>
      <c r="Q1663" s="273"/>
      <c r="R1663" s="273"/>
      <c r="S1663" s="273"/>
      <c r="T1663" s="273"/>
    </row>
    <row r="1664" spans="1:20" ht="12.75">
      <c r="A1664" s="273"/>
      <c r="B1664" s="273"/>
      <c r="C1664" s="273"/>
      <c r="D1664" s="273"/>
      <c r="E1664" s="273"/>
      <c r="F1664" s="273"/>
      <c r="G1664" s="273"/>
      <c r="H1664" s="273"/>
      <c r="I1664" s="273"/>
      <c r="J1664" s="273"/>
      <c r="K1664" s="273"/>
      <c r="L1664" s="273"/>
      <c r="M1664" s="273"/>
      <c r="N1664" s="273"/>
      <c r="O1664" s="273"/>
      <c r="P1664" s="273"/>
      <c r="Q1664" s="273"/>
      <c r="R1664" s="273"/>
      <c r="S1664" s="273"/>
      <c r="T1664" s="273"/>
    </row>
    <row r="1665" spans="1:20" ht="12.75">
      <c r="A1665" s="273"/>
      <c r="B1665" s="273"/>
      <c r="C1665" s="273"/>
      <c r="D1665" s="273"/>
      <c r="E1665" s="273"/>
      <c r="F1665" s="273"/>
      <c r="G1665" s="273"/>
      <c r="H1665" s="273"/>
      <c r="I1665" s="273"/>
      <c r="J1665" s="273"/>
      <c r="K1665" s="273"/>
      <c r="L1665" s="273"/>
      <c r="M1665" s="273"/>
      <c r="N1665" s="273"/>
      <c r="O1665" s="273"/>
      <c r="P1665" s="273"/>
      <c r="Q1665" s="273"/>
      <c r="R1665" s="273"/>
      <c r="S1665" s="273"/>
      <c r="T1665" s="273"/>
    </row>
    <row r="1666" spans="1:20" ht="12.75">
      <c r="A1666" s="273"/>
      <c r="B1666" s="273"/>
      <c r="C1666" s="273"/>
      <c r="D1666" s="273"/>
      <c r="E1666" s="273"/>
      <c r="F1666" s="273"/>
      <c r="G1666" s="273"/>
      <c r="H1666" s="273"/>
      <c r="I1666" s="273"/>
      <c r="J1666" s="273"/>
      <c r="K1666" s="273"/>
      <c r="L1666" s="273"/>
      <c r="M1666" s="273"/>
      <c r="N1666" s="273"/>
      <c r="O1666" s="273"/>
      <c r="P1666" s="273"/>
      <c r="Q1666" s="273"/>
      <c r="R1666" s="273"/>
      <c r="S1666" s="273"/>
      <c r="T1666" s="273"/>
    </row>
    <row r="1667" spans="1:20" ht="12.75">
      <c r="A1667" s="273"/>
      <c r="B1667" s="273"/>
      <c r="C1667" s="273"/>
      <c r="D1667" s="273"/>
      <c r="E1667" s="273"/>
      <c r="F1667" s="273"/>
      <c r="G1667" s="273"/>
      <c r="H1667" s="273"/>
      <c r="I1667" s="273"/>
      <c r="J1667" s="273"/>
      <c r="K1667" s="273"/>
      <c r="L1667" s="273"/>
      <c r="M1667" s="273"/>
      <c r="N1667" s="273"/>
      <c r="O1667" s="273"/>
      <c r="P1667" s="273"/>
      <c r="Q1667" s="273"/>
      <c r="R1667" s="273"/>
      <c r="S1667" s="273"/>
      <c r="T1667" s="273"/>
    </row>
    <row r="1668" spans="1:20" ht="12.75">
      <c r="A1668" s="273"/>
      <c r="B1668" s="273"/>
      <c r="C1668" s="273"/>
      <c r="D1668" s="273"/>
      <c r="E1668" s="273"/>
      <c r="F1668" s="273"/>
      <c r="G1668" s="273"/>
      <c r="H1668" s="273"/>
      <c r="I1668" s="273"/>
      <c r="J1668" s="273"/>
      <c r="K1668" s="273"/>
      <c r="L1668" s="273"/>
      <c r="M1668" s="273"/>
      <c r="N1668" s="273"/>
      <c r="O1668" s="273"/>
      <c r="P1668" s="273"/>
      <c r="Q1668" s="273"/>
      <c r="R1668" s="273"/>
      <c r="S1668" s="273"/>
      <c r="T1668" s="273"/>
    </row>
    <row r="1669" spans="1:20" ht="12.75">
      <c r="A1669" s="273"/>
      <c r="B1669" s="273"/>
      <c r="C1669" s="273"/>
      <c r="D1669" s="273"/>
      <c r="E1669" s="273"/>
      <c r="F1669" s="273"/>
      <c r="G1669" s="273"/>
      <c r="H1669" s="273"/>
      <c r="I1669" s="273"/>
      <c r="J1669" s="273"/>
      <c r="K1669" s="273"/>
      <c r="L1669" s="273"/>
      <c r="M1669" s="273"/>
      <c r="N1669" s="273"/>
      <c r="O1669" s="273"/>
      <c r="P1669" s="273"/>
      <c r="Q1669" s="273"/>
      <c r="R1669" s="273"/>
      <c r="S1669" s="273"/>
      <c r="T1669" s="273"/>
    </row>
    <row r="1670" spans="1:20" ht="12.75">
      <c r="A1670" s="273"/>
      <c r="B1670" s="273"/>
      <c r="C1670" s="273"/>
      <c r="D1670" s="273"/>
      <c r="E1670" s="273"/>
      <c r="F1670" s="273"/>
      <c r="G1670" s="273"/>
      <c r="H1670" s="273"/>
      <c r="I1670" s="273"/>
      <c r="J1670" s="273"/>
      <c r="K1670" s="273"/>
      <c r="L1670" s="273"/>
      <c r="M1670" s="273"/>
      <c r="N1670" s="273"/>
      <c r="O1670" s="273"/>
      <c r="P1670" s="273"/>
      <c r="Q1670" s="273"/>
      <c r="R1670" s="273"/>
      <c r="S1670" s="273"/>
      <c r="T1670" s="273"/>
    </row>
    <row r="1671" spans="1:20" ht="12.75">
      <c r="A1671" s="273"/>
      <c r="B1671" s="273"/>
      <c r="C1671" s="273"/>
      <c r="D1671" s="273"/>
      <c r="E1671" s="273"/>
      <c r="F1671" s="273"/>
      <c r="G1671" s="273"/>
      <c r="H1671" s="273"/>
      <c r="I1671" s="273"/>
      <c r="J1671" s="273"/>
      <c r="K1671" s="273"/>
      <c r="L1671" s="273"/>
      <c r="M1671" s="273"/>
      <c r="N1671" s="273"/>
      <c r="O1671" s="273"/>
      <c r="P1671" s="273"/>
      <c r="Q1671" s="273"/>
      <c r="R1671" s="273"/>
      <c r="S1671" s="273"/>
      <c r="T1671" s="273"/>
    </row>
    <row r="1672" spans="1:20" ht="12.75">
      <c r="A1672" s="273"/>
      <c r="B1672" s="273"/>
      <c r="C1672" s="273"/>
      <c r="D1672" s="273"/>
      <c r="E1672" s="273"/>
      <c r="F1672" s="273"/>
      <c r="G1672" s="273"/>
      <c r="H1672" s="273"/>
      <c r="I1672" s="273"/>
      <c r="J1672" s="273"/>
      <c r="K1672" s="273"/>
      <c r="L1672" s="273"/>
      <c r="M1672" s="273"/>
      <c r="N1672" s="273"/>
      <c r="O1672" s="273"/>
      <c r="P1672" s="273"/>
      <c r="Q1672" s="273"/>
      <c r="R1672" s="273"/>
      <c r="S1672" s="273"/>
      <c r="T1672" s="273"/>
    </row>
    <row r="1673" spans="1:20" ht="12.75">
      <c r="A1673" s="273"/>
      <c r="B1673" s="273"/>
      <c r="C1673" s="273"/>
      <c r="D1673" s="273"/>
      <c r="E1673" s="273"/>
      <c r="F1673" s="273"/>
      <c r="G1673" s="273"/>
      <c r="H1673" s="273"/>
      <c r="I1673" s="273"/>
      <c r="J1673" s="273"/>
      <c r="K1673" s="273"/>
      <c r="L1673" s="273"/>
      <c r="M1673" s="273"/>
      <c r="N1673" s="273"/>
      <c r="O1673" s="273"/>
      <c r="P1673" s="273"/>
      <c r="Q1673" s="273"/>
      <c r="R1673" s="273"/>
      <c r="S1673" s="273"/>
      <c r="T1673" s="273"/>
    </row>
    <row r="1674" spans="1:20" ht="12.75">
      <c r="A1674" s="273"/>
      <c r="B1674" s="273"/>
      <c r="C1674" s="273"/>
      <c r="D1674" s="273"/>
      <c r="E1674" s="273"/>
      <c r="F1674" s="273"/>
      <c r="G1674" s="273"/>
      <c r="H1674" s="273"/>
      <c r="I1674" s="273"/>
      <c r="J1674" s="273"/>
      <c r="K1674" s="273"/>
      <c r="L1674" s="273"/>
      <c r="M1674" s="273"/>
      <c r="N1674" s="273"/>
      <c r="O1674" s="273"/>
      <c r="P1674" s="273"/>
      <c r="Q1674" s="273"/>
      <c r="R1674" s="273"/>
      <c r="S1674" s="273"/>
      <c r="T1674" s="273"/>
    </row>
    <row r="1675" spans="1:10" ht="12.75">
      <c r="A1675" s="273"/>
      <c r="B1675" s="273"/>
      <c r="C1675" s="273"/>
      <c r="D1675" s="273"/>
      <c r="E1675" s="273"/>
      <c r="F1675" s="273"/>
      <c r="G1675" s="273"/>
      <c r="H1675" s="273"/>
      <c r="I1675" s="273"/>
      <c r="J1675" s="273"/>
    </row>
    <row r="1676" spans="1:10" ht="12.75">
      <c r="A1676" s="273"/>
      <c r="B1676" s="273"/>
      <c r="C1676" s="273"/>
      <c r="D1676" s="273"/>
      <c r="E1676" s="273"/>
      <c r="F1676" s="273"/>
      <c r="G1676" s="273"/>
      <c r="H1676" s="273"/>
      <c r="I1676" s="273"/>
      <c r="J1676" s="273"/>
    </row>
    <row r="1677" spans="1:10" ht="12.75">
      <c r="A1677" s="273"/>
      <c r="B1677" s="273"/>
      <c r="C1677" s="273"/>
      <c r="D1677" s="273"/>
      <c r="E1677" s="273"/>
      <c r="F1677" s="273"/>
      <c r="G1677" s="273"/>
      <c r="H1677" s="273"/>
      <c r="I1677" s="273"/>
      <c r="J1677" s="273"/>
    </row>
    <row r="1678" spans="1:10" ht="12.75">
      <c r="A1678" s="273"/>
      <c r="B1678" s="273"/>
      <c r="C1678" s="273"/>
      <c r="D1678" s="273"/>
      <c r="E1678" s="273"/>
      <c r="F1678" s="273"/>
      <c r="G1678" s="273"/>
      <c r="H1678" s="273"/>
      <c r="I1678" s="273"/>
      <c r="J1678" s="273"/>
    </row>
    <row r="1679" spans="1:10" ht="12.75">
      <c r="A1679" s="273"/>
      <c r="B1679" s="273"/>
      <c r="C1679" s="273"/>
      <c r="D1679" s="273"/>
      <c r="E1679" s="273"/>
      <c r="F1679" s="273"/>
      <c r="G1679" s="273"/>
      <c r="H1679" s="273"/>
      <c r="I1679" s="273"/>
      <c r="J1679" s="273"/>
    </row>
    <row r="1680" spans="1:10" ht="12.75">
      <c r="A1680" s="273"/>
      <c r="B1680" s="273"/>
      <c r="C1680" s="273"/>
      <c r="D1680" s="273"/>
      <c r="E1680" s="273"/>
      <c r="F1680" s="273"/>
      <c r="G1680" s="273"/>
      <c r="H1680" s="273"/>
      <c r="I1680" s="273"/>
      <c r="J1680" s="273"/>
    </row>
    <row r="1681" spans="1:10" ht="12.75">
      <c r="A1681" s="273"/>
      <c r="B1681" s="273"/>
      <c r="C1681" s="273"/>
      <c r="D1681" s="273"/>
      <c r="E1681" s="273"/>
      <c r="F1681" s="273"/>
      <c r="G1681" s="273"/>
      <c r="H1681" s="273"/>
      <c r="I1681" s="273"/>
      <c r="J1681" s="273"/>
    </row>
    <row r="1682" spans="1:10" ht="12.75">
      <c r="A1682" s="273"/>
      <c r="B1682" s="273"/>
      <c r="C1682" s="273"/>
      <c r="D1682" s="273"/>
      <c r="E1682" s="273"/>
      <c r="F1682" s="273"/>
      <c r="G1682" s="273"/>
      <c r="H1682" s="273"/>
      <c r="I1682" s="273"/>
      <c r="J1682" s="273"/>
    </row>
    <row r="1683" spans="1:10" ht="12.75">
      <c r="A1683" s="273"/>
      <c r="B1683" s="273"/>
      <c r="C1683" s="273"/>
      <c r="D1683" s="273"/>
      <c r="E1683" s="273"/>
      <c r="F1683" s="273"/>
      <c r="G1683" s="273"/>
      <c r="H1683" s="273"/>
      <c r="I1683" s="273"/>
      <c r="J1683" s="273"/>
    </row>
    <row r="1684" spans="1:10" ht="12.75">
      <c r="A1684" s="273"/>
      <c r="B1684" s="273"/>
      <c r="C1684" s="273"/>
      <c r="D1684" s="273"/>
      <c r="E1684" s="273"/>
      <c r="F1684" s="273"/>
      <c r="G1684" s="273"/>
      <c r="H1684" s="273"/>
      <c r="I1684" s="273"/>
      <c r="J1684" s="273"/>
    </row>
    <row r="1685" spans="1:10" ht="12.75">
      <c r="A1685" s="273"/>
      <c r="B1685" s="273"/>
      <c r="C1685" s="273"/>
      <c r="D1685" s="273"/>
      <c r="E1685" s="273"/>
      <c r="F1685" s="273"/>
      <c r="G1685" s="273"/>
      <c r="H1685" s="273"/>
      <c r="I1685" s="273"/>
      <c r="J1685" s="273"/>
    </row>
    <row r="1686" spans="1:10" ht="12.75">
      <c r="A1686" s="273"/>
      <c r="B1686" s="273"/>
      <c r="C1686" s="273"/>
      <c r="D1686" s="273"/>
      <c r="E1686" s="273"/>
      <c r="F1686" s="273"/>
      <c r="G1686" s="273"/>
      <c r="H1686" s="273"/>
      <c r="I1686" s="273"/>
      <c r="J1686" s="273"/>
    </row>
    <row r="1687" spans="1:10" ht="12.75">
      <c r="A1687" s="273"/>
      <c r="B1687" s="273"/>
      <c r="C1687" s="273"/>
      <c r="D1687" s="273"/>
      <c r="E1687" s="273"/>
      <c r="F1687" s="273"/>
      <c r="G1687" s="273"/>
      <c r="H1687" s="273"/>
      <c r="I1687" s="273"/>
      <c r="J1687" s="273"/>
    </row>
    <row r="1688" spans="1:10" ht="12.75">
      <c r="A1688" s="273"/>
      <c r="B1688" s="273"/>
      <c r="C1688" s="273"/>
      <c r="D1688" s="273"/>
      <c r="E1688" s="273"/>
      <c r="F1688" s="273"/>
      <c r="G1688" s="273"/>
      <c r="H1688" s="273"/>
      <c r="I1688" s="273"/>
      <c r="J1688" s="273"/>
    </row>
    <row r="1689" spans="1:10" ht="12.75">
      <c r="A1689" s="273"/>
      <c r="B1689" s="273"/>
      <c r="C1689" s="273"/>
      <c r="D1689" s="273"/>
      <c r="E1689" s="273"/>
      <c r="F1689" s="273"/>
      <c r="G1689" s="273"/>
      <c r="H1689" s="273"/>
      <c r="I1689" s="273"/>
      <c r="J1689" s="273"/>
    </row>
    <row r="1690" spans="1:10" ht="12.75">
      <c r="A1690" s="273"/>
      <c r="B1690" s="273"/>
      <c r="C1690" s="273"/>
      <c r="D1690" s="273"/>
      <c r="E1690" s="273"/>
      <c r="F1690" s="273"/>
      <c r="G1690" s="273"/>
      <c r="H1690" s="273"/>
      <c r="I1690" s="273"/>
      <c r="J1690" s="273"/>
    </row>
    <row r="1691" spans="1:10" ht="12.75">
      <c r="A1691" s="273"/>
      <c r="B1691" s="273"/>
      <c r="C1691" s="273"/>
      <c r="D1691" s="273"/>
      <c r="E1691" s="273"/>
      <c r="F1691" s="273"/>
      <c r="G1691" s="273"/>
      <c r="H1691" s="273"/>
      <c r="I1691" s="273"/>
      <c r="J1691" s="273"/>
    </row>
    <row r="1692" spans="1:10" ht="12.75">
      <c r="A1692" s="273"/>
      <c r="B1692" s="273"/>
      <c r="C1692" s="273"/>
      <c r="D1692" s="273"/>
      <c r="E1692" s="273"/>
      <c r="F1692" s="273"/>
      <c r="G1692" s="273"/>
      <c r="H1692" s="273"/>
      <c r="I1692" s="273"/>
      <c r="J1692" s="273"/>
    </row>
    <row r="1693" spans="1:10" ht="12.75">
      <c r="A1693" s="273"/>
      <c r="B1693" s="273"/>
      <c r="C1693" s="273"/>
      <c r="D1693" s="273"/>
      <c r="E1693" s="273"/>
      <c r="F1693" s="273"/>
      <c r="G1693" s="273"/>
      <c r="H1693" s="273"/>
      <c r="I1693" s="273"/>
      <c r="J1693" s="273"/>
    </row>
    <row r="1694" spans="1:10" ht="12.75">
      <c r="A1694" s="273"/>
      <c r="B1694" s="273"/>
      <c r="C1694" s="273"/>
      <c r="D1694" s="273"/>
      <c r="E1694" s="273"/>
      <c r="F1694" s="273"/>
      <c r="G1694" s="273"/>
      <c r="H1694" s="273"/>
      <c r="I1694" s="273"/>
      <c r="J1694" s="273"/>
    </row>
    <row r="1695" spans="1:10" ht="12.75">
      <c r="A1695" s="273"/>
      <c r="B1695" s="273"/>
      <c r="C1695" s="273"/>
      <c r="D1695" s="273"/>
      <c r="E1695" s="273"/>
      <c r="F1695" s="273"/>
      <c r="G1695" s="273"/>
      <c r="H1695" s="273"/>
      <c r="I1695" s="273"/>
      <c r="J1695" s="273"/>
    </row>
    <row r="1696" spans="1:10" ht="12.75">
      <c r="A1696" s="273"/>
      <c r="B1696" s="273"/>
      <c r="C1696" s="273"/>
      <c r="D1696" s="273"/>
      <c r="E1696" s="273"/>
      <c r="F1696" s="273"/>
      <c r="G1696" s="273"/>
      <c r="H1696" s="273"/>
      <c r="I1696" s="273"/>
      <c r="J1696" s="273"/>
    </row>
    <row r="1697" spans="1:10" ht="12.75">
      <c r="A1697" s="273"/>
      <c r="B1697" s="273"/>
      <c r="C1697" s="273"/>
      <c r="D1697" s="273"/>
      <c r="E1697" s="273"/>
      <c r="F1697" s="273"/>
      <c r="G1697" s="273"/>
      <c r="H1697" s="273"/>
      <c r="I1697" s="273"/>
      <c r="J1697" s="273"/>
    </row>
    <row r="1698" spans="1:10" ht="12.75">
      <c r="A1698" s="273"/>
      <c r="B1698" s="273"/>
      <c r="C1698" s="273"/>
      <c r="D1698" s="273"/>
      <c r="E1698" s="273"/>
      <c r="F1698" s="273"/>
      <c r="G1698" s="273"/>
      <c r="H1698" s="273"/>
      <c r="I1698" s="273"/>
      <c r="J1698" s="273"/>
    </row>
    <row r="1699" spans="1:10" ht="12.75">
      <c r="A1699" s="273"/>
      <c r="B1699" s="273"/>
      <c r="C1699" s="273"/>
      <c r="D1699" s="273"/>
      <c r="E1699" s="273"/>
      <c r="F1699" s="273"/>
      <c r="G1699" s="273"/>
      <c r="H1699" s="273"/>
      <c r="I1699" s="273"/>
      <c r="J1699" s="273"/>
    </row>
    <row r="1700" spans="1:10" ht="12.75">
      <c r="A1700" s="273"/>
      <c r="B1700" s="273"/>
      <c r="C1700" s="273"/>
      <c r="D1700" s="273"/>
      <c r="E1700" s="273"/>
      <c r="F1700" s="273"/>
      <c r="G1700" s="273"/>
      <c r="H1700" s="273"/>
      <c r="I1700" s="273"/>
      <c r="J1700" s="273"/>
    </row>
    <row r="1701" spans="1:10" ht="12.75">
      <c r="A1701" s="273"/>
      <c r="B1701" s="273"/>
      <c r="C1701" s="273"/>
      <c r="D1701" s="273"/>
      <c r="E1701" s="273"/>
      <c r="F1701" s="273"/>
      <c r="G1701" s="273"/>
      <c r="H1701" s="273"/>
      <c r="I1701" s="273"/>
      <c r="J1701" s="273"/>
    </row>
    <row r="1702" spans="1:10" ht="12.75">
      <c r="A1702" s="273"/>
      <c r="B1702" s="273"/>
      <c r="C1702" s="273"/>
      <c r="D1702" s="273"/>
      <c r="E1702" s="273"/>
      <c r="F1702" s="273"/>
      <c r="G1702" s="273"/>
      <c r="H1702" s="273"/>
      <c r="I1702" s="273"/>
      <c r="J1702" s="273"/>
    </row>
    <row r="1703" spans="1:10" ht="12.75">
      <c r="A1703" s="273"/>
      <c r="B1703" s="273"/>
      <c r="C1703" s="273"/>
      <c r="D1703" s="273"/>
      <c r="E1703" s="273"/>
      <c r="F1703" s="273"/>
      <c r="G1703" s="273"/>
      <c r="H1703" s="273"/>
      <c r="I1703" s="273"/>
      <c r="J1703" s="273"/>
    </row>
    <row r="1704" spans="1:10" ht="12.75">
      <c r="A1704" s="273"/>
      <c r="B1704" s="273"/>
      <c r="C1704" s="273"/>
      <c r="D1704" s="273"/>
      <c r="E1704" s="273"/>
      <c r="F1704" s="273"/>
      <c r="G1704" s="273"/>
      <c r="H1704" s="273"/>
      <c r="I1704" s="273"/>
      <c r="J1704" s="273"/>
    </row>
    <row r="1705" spans="1:10" ht="12.75">
      <c r="A1705" s="273"/>
      <c r="B1705" s="273"/>
      <c r="C1705" s="273"/>
      <c r="D1705" s="273"/>
      <c r="E1705" s="273"/>
      <c r="F1705" s="273"/>
      <c r="G1705" s="273"/>
      <c r="H1705" s="273"/>
      <c r="I1705" s="273"/>
      <c r="J1705" s="273"/>
    </row>
    <row r="1706" spans="1:10" ht="12.75">
      <c r="A1706" s="273"/>
      <c r="B1706" s="273"/>
      <c r="C1706" s="273"/>
      <c r="D1706" s="273"/>
      <c r="E1706" s="273"/>
      <c r="F1706" s="273"/>
      <c r="G1706" s="273"/>
      <c r="H1706" s="273"/>
      <c r="I1706" s="273"/>
      <c r="J1706" s="273"/>
    </row>
    <row r="1707" spans="1:10" ht="12.75">
      <c r="A1707" s="273"/>
      <c r="B1707" s="273"/>
      <c r="C1707" s="273"/>
      <c r="D1707" s="273"/>
      <c r="E1707" s="273"/>
      <c r="F1707" s="273"/>
      <c r="G1707" s="273"/>
      <c r="H1707" s="273"/>
      <c r="I1707" s="273"/>
      <c r="J1707" s="273"/>
    </row>
    <row r="1708" spans="1:10" ht="12.75">
      <c r="A1708" s="273"/>
      <c r="B1708" s="273"/>
      <c r="C1708" s="273"/>
      <c r="D1708" s="273"/>
      <c r="E1708" s="273"/>
      <c r="F1708" s="273"/>
      <c r="G1708" s="273"/>
      <c r="H1708" s="273"/>
      <c r="I1708" s="273"/>
      <c r="J1708" s="273"/>
    </row>
    <row r="1709" spans="1:10" ht="12.75">
      <c r="A1709" s="273"/>
      <c r="B1709" s="273"/>
      <c r="C1709" s="273"/>
      <c r="D1709" s="273"/>
      <c r="E1709" s="273"/>
      <c r="F1709" s="273"/>
      <c r="G1709" s="273"/>
      <c r="H1709" s="273"/>
      <c r="I1709" s="273"/>
      <c r="J1709" s="273"/>
    </row>
    <row r="1710" spans="1:10" ht="12.75">
      <c r="A1710" s="273"/>
      <c r="B1710" s="273"/>
      <c r="C1710" s="273"/>
      <c r="D1710" s="273"/>
      <c r="E1710" s="273"/>
      <c r="F1710" s="273"/>
      <c r="G1710" s="273"/>
      <c r="H1710" s="273"/>
      <c r="I1710" s="273"/>
      <c r="J1710" s="273"/>
    </row>
    <row r="1711" spans="1:10" ht="12.75">
      <c r="A1711" s="273"/>
      <c r="B1711" s="273"/>
      <c r="C1711" s="273"/>
      <c r="D1711" s="273"/>
      <c r="E1711" s="273"/>
      <c r="F1711" s="273"/>
      <c r="G1711" s="273"/>
      <c r="H1711" s="273"/>
      <c r="I1711" s="273"/>
      <c r="J1711" s="273"/>
    </row>
    <row r="1712" spans="1:10" ht="12.75">
      <c r="A1712" s="273"/>
      <c r="B1712" s="273"/>
      <c r="C1712" s="273"/>
      <c r="D1712" s="273"/>
      <c r="E1712" s="273"/>
      <c r="F1712" s="273"/>
      <c r="G1712" s="273"/>
      <c r="H1712" s="273"/>
      <c r="I1712" s="273"/>
      <c r="J1712" s="273"/>
    </row>
    <row r="1713" spans="1:10" ht="12.75">
      <c r="A1713" s="273"/>
      <c r="B1713" s="273"/>
      <c r="C1713" s="273"/>
      <c r="D1713" s="273"/>
      <c r="E1713" s="273"/>
      <c r="F1713" s="273"/>
      <c r="G1713" s="273"/>
      <c r="H1713" s="273"/>
      <c r="I1713" s="273"/>
      <c r="J1713" s="273"/>
    </row>
    <row r="1714" spans="1:10" ht="12.75">
      <c r="A1714" s="273"/>
      <c r="B1714" s="273"/>
      <c r="C1714" s="273"/>
      <c r="D1714" s="273"/>
      <c r="E1714" s="273"/>
      <c r="F1714" s="273"/>
      <c r="G1714" s="273"/>
      <c r="H1714" s="273"/>
      <c r="I1714" s="273"/>
      <c r="J1714" s="273"/>
    </row>
    <row r="1715" spans="1:10" ht="12.75">
      <c r="A1715" s="273"/>
      <c r="B1715" s="273"/>
      <c r="C1715" s="273"/>
      <c r="D1715" s="273"/>
      <c r="E1715" s="273"/>
      <c r="F1715" s="273"/>
      <c r="G1715" s="273"/>
      <c r="H1715" s="273"/>
      <c r="I1715" s="273"/>
      <c r="J1715" s="273"/>
    </row>
    <row r="1716" spans="1:10" ht="12.75">
      <c r="A1716" s="273"/>
      <c r="B1716" s="273"/>
      <c r="C1716" s="273"/>
      <c r="D1716" s="273"/>
      <c r="E1716" s="273"/>
      <c r="F1716" s="273"/>
      <c r="G1716" s="273"/>
      <c r="H1716" s="273"/>
      <c r="I1716" s="273"/>
      <c r="J1716" s="273"/>
    </row>
    <row r="1717" spans="1:10" ht="12.75">
      <c r="A1717" s="273"/>
      <c r="B1717" s="273"/>
      <c r="C1717" s="273"/>
      <c r="D1717" s="273"/>
      <c r="E1717" s="273"/>
      <c r="F1717" s="273"/>
      <c r="G1717" s="273"/>
      <c r="H1717" s="273"/>
      <c r="I1717" s="273"/>
      <c r="J1717" s="273"/>
    </row>
    <row r="1718" spans="1:10" ht="12.75">
      <c r="A1718" s="273"/>
      <c r="B1718" s="273"/>
      <c r="C1718" s="273"/>
      <c r="D1718" s="273"/>
      <c r="E1718" s="273"/>
      <c r="F1718" s="273"/>
      <c r="G1718" s="273"/>
      <c r="H1718" s="273"/>
      <c r="I1718" s="273"/>
      <c r="J1718" s="273"/>
    </row>
    <row r="1719" spans="1:10" ht="12.75">
      <c r="A1719" s="273"/>
      <c r="B1719" s="273"/>
      <c r="C1719" s="273"/>
      <c r="D1719" s="273"/>
      <c r="E1719" s="273"/>
      <c r="F1719" s="273"/>
      <c r="G1719" s="273"/>
      <c r="H1719" s="273"/>
      <c r="I1719" s="273"/>
      <c r="J1719" s="273"/>
    </row>
    <row r="1720" spans="1:10" ht="12.75">
      <c r="A1720" s="273"/>
      <c r="B1720" s="273"/>
      <c r="C1720" s="273"/>
      <c r="D1720" s="273"/>
      <c r="E1720" s="273"/>
      <c r="F1720" s="273"/>
      <c r="G1720" s="273"/>
      <c r="H1720" s="273"/>
      <c r="I1720" s="273"/>
      <c r="J1720" s="273"/>
    </row>
    <row r="1721" spans="1:10" ht="12.75">
      <c r="A1721" s="273"/>
      <c r="B1721" s="273"/>
      <c r="C1721" s="273"/>
      <c r="D1721" s="273"/>
      <c r="E1721" s="273"/>
      <c r="F1721" s="273"/>
      <c r="G1721" s="273"/>
      <c r="H1721" s="273"/>
      <c r="I1721" s="273"/>
      <c r="J1721" s="273"/>
    </row>
    <row r="1722" spans="1:10" ht="12.75">
      <c r="A1722" s="273"/>
      <c r="B1722" s="273"/>
      <c r="C1722" s="273"/>
      <c r="D1722" s="273"/>
      <c r="E1722" s="273"/>
      <c r="F1722" s="273"/>
      <c r="G1722" s="273"/>
      <c r="H1722" s="273"/>
      <c r="I1722" s="273"/>
      <c r="J1722" s="273"/>
    </row>
    <row r="1723" spans="1:10" ht="12.75">
      <c r="A1723" s="273"/>
      <c r="B1723" s="273"/>
      <c r="C1723" s="273"/>
      <c r="D1723" s="273"/>
      <c r="E1723" s="273"/>
      <c r="F1723" s="273"/>
      <c r="G1723" s="273"/>
      <c r="H1723" s="273"/>
      <c r="I1723" s="273"/>
      <c r="J1723" s="273"/>
    </row>
    <row r="1724" spans="1:10" ht="12.75">
      <c r="A1724" s="273"/>
      <c r="B1724" s="273"/>
      <c r="C1724" s="273"/>
      <c r="D1724" s="273"/>
      <c r="E1724" s="273"/>
      <c r="F1724" s="273"/>
      <c r="G1724" s="273"/>
      <c r="H1724" s="273"/>
      <c r="I1724" s="273"/>
      <c r="J1724" s="273"/>
    </row>
    <row r="1725" spans="1:10" ht="12.75">
      <c r="A1725" s="273"/>
      <c r="B1725" s="273"/>
      <c r="C1725" s="273"/>
      <c r="D1725" s="273"/>
      <c r="E1725" s="273"/>
      <c r="F1725" s="273"/>
      <c r="G1725" s="273"/>
      <c r="H1725" s="273"/>
      <c r="I1725" s="273"/>
      <c r="J1725" s="273"/>
    </row>
    <row r="1726" spans="1:10" ht="12.75">
      <c r="A1726" s="273"/>
      <c r="B1726" s="273"/>
      <c r="C1726" s="273"/>
      <c r="D1726" s="273"/>
      <c r="E1726" s="273"/>
      <c r="F1726" s="273"/>
      <c r="G1726" s="273"/>
      <c r="H1726" s="273"/>
      <c r="I1726" s="273"/>
      <c r="J1726" s="273"/>
    </row>
    <row r="1727" spans="1:10" ht="12.75">
      <c r="A1727" s="273"/>
      <c r="B1727" s="273"/>
      <c r="C1727" s="273"/>
      <c r="D1727" s="273"/>
      <c r="E1727" s="273"/>
      <c r="F1727" s="273"/>
      <c r="G1727" s="273"/>
      <c r="H1727" s="273"/>
      <c r="I1727" s="273"/>
      <c r="J1727" s="273"/>
    </row>
    <row r="1728" spans="1:10" ht="12.75">
      <c r="A1728" s="273"/>
      <c r="B1728" s="273"/>
      <c r="C1728" s="273"/>
      <c r="D1728" s="273"/>
      <c r="E1728" s="273"/>
      <c r="F1728" s="273"/>
      <c r="G1728" s="273"/>
      <c r="H1728" s="273"/>
      <c r="I1728" s="273"/>
      <c r="J1728" s="273"/>
    </row>
    <row r="1729" spans="1:10" ht="12.75">
      <c r="A1729" s="273"/>
      <c r="B1729" s="273"/>
      <c r="C1729" s="273"/>
      <c r="D1729" s="273"/>
      <c r="E1729" s="273"/>
      <c r="F1729" s="273"/>
      <c r="G1729" s="273"/>
      <c r="H1729" s="273"/>
      <c r="I1729" s="273"/>
      <c r="J1729" s="273"/>
    </row>
    <row r="1730" spans="1:10" ht="12.75">
      <c r="A1730" s="273"/>
      <c r="B1730" s="273"/>
      <c r="C1730" s="273"/>
      <c r="D1730" s="273"/>
      <c r="E1730" s="273"/>
      <c r="F1730" s="273"/>
      <c r="G1730" s="273"/>
      <c r="H1730" s="273"/>
      <c r="I1730" s="273"/>
      <c r="J1730" s="273"/>
    </row>
    <row r="1731" spans="1:10" ht="12.75">
      <c r="A1731" s="273"/>
      <c r="B1731" s="273"/>
      <c r="C1731" s="273"/>
      <c r="D1731" s="273"/>
      <c r="E1731" s="273"/>
      <c r="F1731" s="273"/>
      <c r="G1731" s="273"/>
      <c r="H1731" s="273"/>
      <c r="I1731" s="273"/>
      <c r="J1731" s="273"/>
    </row>
    <row r="1732" spans="1:10" ht="12.75">
      <c r="A1732" s="273"/>
      <c r="B1732" s="273"/>
      <c r="C1732" s="273"/>
      <c r="D1732" s="273"/>
      <c r="E1732" s="273"/>
      <c r="F1732" s="273"/>
      <c r="G1732" s="273"/>
      <c r="H1732" s="273"/>
      <c r="I1732" s="273"/>
      <c r="J1732" s="273"/>
    </row>
    <row r="1733" spans="1:10" ht="12.75">
      <c r="A1733" s="273"/>
      <c r="B1733" s="273"/>
      <c r="C1733" s="273"/>
      <c r="D1733" s="273"/>
      <c r="E1733" s="273"/>
      <c r="F1733" s="273"/>
      <c r="G1733" s="273"/>
      <c r="H1733" s="273"/>
      <c r="I1733" s="273"/>
      <c r="J1733" s="273"/>
    </row>
    <row r="1734" spans="1:10" ht="12.75">
      <c r="A1734" s="273"/>
      <c r="B1734" s="273"/>
      <c r="C1734" s="273"/>
      <c r="D1734" s="273"/>
      <c r="E1734" s="273"/>
      <c r="F1734" s="273"/>
      <c r="G1734" s="273"/>
      <c r="H1734" s="273"/>
      <c r="I1734" s="273"/>
      <c r="J1734" s="273"/>
    </row>
  </sheetData>
  <sheetProtection password="EB09" sheet="1" deleteColumns="0" deleteRows="0" sort="0" autoFilter="0"/>
  <mergeCells count="2999">
    <mergeCell ref="C854:D854"/>
    <mergeCell ref="E856:F856"/>
    <mergeCell ref="C1102:D1102"/>
    <mergeCell ref="E949:F949"/>
    <mergeCell ref="C887:D887"/>
    <mergeCell ref="G861:H861"/>
    <mergeCell ref="G862:H862"/>
    <mergeCell ref="C864:D864"/>
    <mergeCell ref="C865:D865"/>
    <mergeCell ref="E889:F889"/>
    <mergeCell ref="G966:H966"/>
    <mergeCell ref="A1322:A1323"/>
    <mergeCell ref="C1322:D1322"/>
    <mergeCell ref="G1322:H1322"/>
    <mergeCell ref="E1245:F1245"/>
    <mergeCell ref="G1245:H1245"/>
    <mergeCell ref="A1311:A1312"/>
    <mergeCell ref="C1311:D1311"/>
    <mergeCell ref="A1266:A1267"/>
    <mergeCell ref="C1266:D1266"/>
    <mergeCell ref="E1266:F1266"/>
    <mergeCell ref="C867:D867"/>
    <mergeCell ref="C869:D869"/>
    <mergeCell ref="G995:H995"/>
    <mergeCell ref="C992:D992"/>
    <mergeCell ref="G1005:H1005"/>
    <mergeCell ref="G948:H948"/>
    <mergeCell ref="G989:H989"/>
    <mergeCell ref="G884:H884"/>
    <mergeCell ref="C995:D995"/>
    <mergeCell ref="C856:D856"/>
    <mergeCell ref="G865:H865"/>
    <mergeCell ref="E864:F864"/>
    <mergeCell ref="G857:H857"/>
    <mergeCell ref="C858:D858"/>
    <mergeCell ref="E863:F863"/>
    <mergeCell ref="E861:F861"/>
    <mergeCell ref="G37:H37"/>
    <mergeCell ref="E38:F38"/>
    <mergeCell ref="A1650:H1650"/>
    <mergeCell ref="A1639:H1639"/>
    <mergeCell ref="A1032:H1032"/>
    <mergeCell ref="A1640:H1640"/>
    <mergeCell ref="A1045:H1045"/>
    <mergeCell ref="G992:H992"/>
    <mergeCell ref="C994:D994"/>
    <mergeCell ref="C1404:D1404"/>
    <mergeCell ref="A1:L1"/>
    <mergeCell ref="A3:K3"/>
    <mergeCell ref="A5:B5"/>
    <mergeCell ref="A21:H21"/>
    <mergeCell ref="A23:F23"/>
    <mergeCell ref="I48:J48"/>
    <mergeCell ref="A25:J25"/>
    <mergeCell ref="A27:F27"/>
    <mergeCell ref="E47:F47"/>
    <mergeCell ref="G47:H47"/>
    <mergeCell ref="G950:H950"/>
    <mergeCell ref="C958:D958"/>
    <mergeCell ref="C970:D970"/>
    <mergeCell ref="C972:D972"/>
    <mergeCell ref="A955:H955"/>
    <mergeCell ref="E987:F987"/>
    <mergeCell ref="E968:F968"/>
    <mergeCell ref="C971:D971"/>
    <mergeCell ref="G951:H951"/>
    <mergeCell ref="E952:F952"/>
    <mergeCell ref="C571:D571"/>
    <mergeCell ref="E571:F571"/>
    <mergeCell ref="A598:H598"/>
    <mergeCell ref="C606:D606"/>
    <mergeCell ref="A907:H907"/>
    <mergeCell ref="I30:J30"/>
    <mergeCell ref="G31:H31"/>
    <mergeCell ref="E37:F37"/>
    <mergeCell ref="I31:J31"/>
    <mergeCell ref="G321:H321"/>
    <mergeCell ref="E110:F110"/>
    <mergeCell ref="G110:H110"/>
    <mergeCell ref="G191:H191"/>
    <mergeCell ref="E192:F192"/>
    <mergeCell ref="C194:D194"/>
    <mergeCell ref="G131:H131"/>
    <mergeCell ref="C170:D170"/>
    <mergeCell ref="E191:F191"/>
    <mergeCell ref="C111:D111"/>
    <mergeCell ref="E111:F111"/>
    <mergeCell ref="G48:H48"/>
    <mergeCell ref="E170:F170"/>
    <mergeCell ref="G170:H170"/>
    <mergeCell ref="C74:D74"/>
    <mergeCell ref="C75:D75"/>
    <mergeCell ref="A145:L145"/>
    <mergeCell ref="E75:F75"/>
    <mergeCell ref="G57:H57"/>
    <mergeCell ref="E59:F59"/>
    <mergeCell ref="C110:D110"/>
    <mergeCell ref="G77:H77"/>
    <mergeCell ref="C84:D84"/>
    <mergeCell ref="C87:D87"/>
    <mergeCell ref="E78:F78"/>
    <mergeCell ref="G78:H78"/>
    <mergeCell ref="G107:H107"/>
    <mergeCell ref="E94:F94"/>
    <mergeCell ref="C80:D80"/>
    <mergeCell ref="E80:F80"/>
    <mergeCell ref="G80:H80"/>
    <mergeCell ref="G542:H542"/>
    <mergeCell ref="E554:F554"/>
    <mergeCell ref="G544:H544"/>
    <mergeCell ref="G548:H548"/>
    <mergeCell ref="E542:F542"/>
    <mergeCell ref="G543:H543"/>
    <mergeCell ref="E543:F543"/>
    <mergeCell ref="G549:H549"/>
    <mergeCell ref="G546:H546"/>
    <mergeCell ref="E552:F552"/>
    <mergeCell ref="G247:H247"/>
    <mergeCell ref="I59:J59"/>
    <mergeCell ref="I68:J68"/>
    <mergeCell ref="I197:J197"/>
    <mergeCell ref="C131:D131"/>
    <mergeCell ref="E131:F131"/>
    <mergeCell ref="G83:H83"/>
    <mergeCell ref="C88:D88"/>
    <mergeCell ref="C77:D77"/>
    <mergeCell ref="E77:F77"/>
    <mergeCell ref="I199:J199"/>
    <mergeCell ref="C196:D196"/>
    <mergeCell ref="G194:H194"/>
    <mergeCell ref="E540:F540"/>
    <mergeCell ref="C421:D421"/>
    <mergeCell ref="C422:D422"/>
    <mergeCell ref="C247:D247"/>
    <mergeCell ref="E247:F247"/>
    <mergeCell ref="G208:H208"/>
    <mergeCell ref="E197:F197"/>
    <mergeCell ref="C115:D115"/>
    <mergeCell ref="G234:H234"/>
    <mergeCell ref="G324:H324"/>
    <mergeCell ref="I195:J195"/>
    <mergeCell ref="C214:D214"/>
    <mergeCell ref="E194:F194"/>
    <mergeCell ref="C197:D197"/>
    <mergeCell ref="C241:D241"/>
    <mergeCell ref="C242:D242"/>
    <mergeCell ref="C322:D322"/>
    <mergeCell ref="I196:J196"/>
    <mergeCell ref="G196:H196"/>
    <mergeCell ref="G197:H197"/>
    <mergeCell ref="I192:J192"/>
    <mergeCell ref="I190:J190"/>
    <mergeCell ref="I189:J189"/>
    <mergeCell ref="E422:F422"/>
    <mergeCell ref="E421:F421"/>
    <mergeCell ref="G421:H421"/>
    <mergeCell ref="I235:J235"/>
    <mergeCell ref="I233:J233"/>
    <mergeCell ref="G242:H242"/>
    <mergeCell ref="G422:H422"/>
    <mergeCell ref="G241:H241"/>
    <mergeCell ref="E241:F241"/>
    <mergeCell ref="E242:F242"/>
    <mergeCell ref="E215:F215"/>
    <mergeCell ref="E195:F195"/>
    <mergeCell ref="E213:F213"/>
    <mergeCell ref="A206:H206"/>
    <mergeCell ref="C208:D208"/>
    <mergeCell ref="E208:F208"/>
    <mergeCell ref="C212:D212"/>
    <mergeCell ref="E212:F212"/>
    <mergeCell ref="C195:D195"/>
    <mergeCell ref="C211:D211"/>
    <mergeCell ref="G200:H200"/>
    <mergeCell ref="G245:H245"/>
    <mergeCell ref="C420:D420"/>
    <mergeCell ref="C243:D243"/>
    <mergeCell ref="E246:F246"/>
    <mergeCell ref="G246:H246"/>
    <mergeCell ref="E420:F420"/>
    <mergeCell ref="G420:H420"/>
    <mergeCell ref="C246:D246"/>
    <mergeCell ref="E326:F326"/>
    <mergeCell ref="C415:D415"/>
    <mergeCell ref="E214:F214"/>
    <mergeCell ref="E544:F544"/>
    <mergeCell ref="G235:H235"/>
    <mergeCell ref="G243:H243"/>
    <mergeCell ref="C244:D244"/>
    <mergeCell ref="E244:F244"/>
    <mergeCell ref="G244:H244"/>
    <mergeCell ref="C245:D245"/>
    <mergeCell ref="G268:H268"/>
    <mergeCell ref="C272:D272"/>
    <mergeCell ref="E272:F272"/>
    <mergeCell ref="C554:D554"/>
    <mergeCell ref="G255:H255"/>
    <mergeCell ref="E256:F256"/>
    <mergeCell ref="G256:H256"/>
    <mergeCell ref="E415:F415"/>
    <mergeCell ref="G538:H538"/>
    <mergeCell ref="C326:D326"/>
    <mergeCell ref="E268:F268"/>
    <mergeCell ref="G225:H225"/>
    <mergeCell ref="C219:D219"/>
    <mergeCell ref="E219:F219"/>
    <mergeCell ref="G219:H219"/>
    <mergeCell ref="C222:D222"/>
    <mergeCell ref="E222:F222"/>
    <mergeCell ref="G222:H222"/>
    <mergeCell ref="C220:D220"/>
    <mergeCell ref="E220:F220"/>
    <mergeCell ref="G220:H220"/>
    <mergeCell ref="C221:D221"/>
    <mergeCell ref="E255:F255"/>
    <mergeCell ref="C844:D844"/>
    <mergeCell ref="C233:D233"/>
    <mergeCell ref="E233:F233"/>
    <mergeCell ref="E234:F234"/>
    <mergeCell ref="G233:H233"/>
    <mergeCell ref="E221:F221"/>
    <mergeCell ref="G221:H221"/>
    <mergeCell ref="C269:D269"/>
    <mergeCell ref="E269:F269"/>
    <mergeCell ref="C237:D237"/>
    <mergeCell ref="C238:D238"/>
    <mergeCell ref="E245:F245"/>
    <mergeCell ref="G415:H415"/>
    <mergeCell ref="E321:F321"/>
    <mergeCell ref="E323:F323"/>
    <mergeCell ref="G248:H248"/>
    <mergeCell ref="G258:H258"/>
    <mergeCell ref="E885:F885"/>
    <mergeCell ref="C885:D885"/>
    <mergeCell ref="A1484:A1485"/>
    <mergeCell ref="A1123:H1123"/>
    <mergeCell ref="A1332:A1333"/>
    <mergeCell ref="G1369:H1369"/>
    <mergeCell ref="A1369:A1370"/>
    <mergeCell ref="C1369:D1369"/>
    <mergeCell ref="E1369:F1369"/>
    <mergeCell ref="E1198:F1198"/>
    <mergeCell ref="M319:N319"/>
    <mergeCell ref="E325:F325"/>
    <mergeCell ref="G325:H325"/>
    <mergeCell ref="G323:H323"/>
    <mergeCell ref="A1361:A1362"/>
    <mergeCell ref="C1361:D1361"/>
    <mergeCell ref="E1361:F1361"/>
    <mergeCell ref="G1361:H1361"/>
    <mergeCell ref="G1196:H1196"/>
    <mergeCell ref="G1197:H1197"/>
    <mergeCell ref="M320:N320"/>
    <mergeCell ref="E1202:F1202"/>
    <mergeCell ref="E1273:F1273"/>
    <mergeCell ref="G1213:H1213"/>
    <mergeCell ref="E868:F868"/>
    <mergeCell ref="G868:H868"/>
    <mergeCell ref="E884:F884"/>
    <mergeCell ref="E1203:F1203"/>
    <mergeCell ref="G869:H869"/>
    <mergeCell ref="E1161:F1161"/>
    <mergeCell ref="C1161:D1161"/>
    <mergeCell ref="C743:D743"/>
    <mergeCell ref="C853:D853"/>
    <mergeCell ref="E209:F209"/>
    <mergeCell ref="G209:H209"/>
    <mergeCell ref="E243:F243"/>
    <mergeCell ref="C209:D209"/>
    <mergeCell ref="C218:D218"/>
    <mergeCell ref="E218:F218"/>
    <mergeCell ref="G218:H218"/>
    <mergeCell ref="I214:J214"/>
    <mergeCell ref="I215:J215"/>
    <mergeCell ref="I208:J208"/>
    <mergeCell ref="E223:F223"/>
    <mergeCell ref="G223:H223"/>
    <mergeCell ref="C224:D224"/>
    <mergeCell ref="E224:F224"/>
    <mergeCell ref="G224:H224"/>
    <mergeCell ref="C223:D223"/>
    <mergeCell ref="E211:F211"/>
    <mergeCell ref="E225:F225"/>
    <mergeCell ref="A1454:A1455"/>
    <mergeCell ref="C1196:D1196"/>
    <mergeCell ref="E1197:F1197"/>
    <mergeCell ref="E1196:F1196"/>
    <mergeCell ref="C1197:D1197"/>
    <mergeCell ref="A1208:H1208"/>
    <mergeCell ref="A1207:H1207"/>
    <mergeCell ref="G1199:H1199"/>
    <mergeCell ref="E1213:F1213"/>
    <mergeCell ref="G1303:H1303"/>
    <mergeCell ref="G1201:H1201"/>
    <mergeCell ref="C1273:D1273"/>
    <mergeCell ref="E1258:F1258"/>
    <mergeCell ref="G1258:H1258"/>
    <mergeCell ref="G1266:H1266"/>
    <mergeCell ref="C1213:D1213"/>
    <mergeCell ref="E1201:F1201"/>
    <mergeCell ref="G1203:H1203"/>
    <mergeCell ref="C1258:D1258"/>
    <mergeCell ref="G1012:H1012"/>
    <mergeCell ref="C1013:D1013"/>
    <mergeCell ref="G935:H935"/>
    <mergeCell ref="A934:H934"/>
    <mergeCell ref="E1519:F1519"/>
    <mergeCell ref="G1454:H1454"/>
    <mergeCell ref="A1519:A1520"/>
    <mergeCell ref="C1454:D1454"/>
    <mergeCell ref="E1454:F1454"/>
    <mergeCell ref="A1517:H1517"/>
    <mergeCell ref="C1303:D1303"/>
    <mergeCell ref="E1303:F1303"/>
    <mergeCell ref="G1295:H1295"/>
    <mergeCell ref="C1295:D1295"/>
    <mergeCell ref="C884:D884"/>
    <mergeCell ref="C1040:D1040"/>
    <mergeCell ref="G889:H889"/>
    <mergeCell ref="G886:H886"/>
    <mergeCell ref="G982:H982"/>
    <mergeCell ref="E992:F992"/>
    <mergeCell ref="G1593:H1593"/>
    <mergeCell ref="C1593:D1593"/>
    <mergeCell ref="A1622:B1622"/>
    <mergeCell ref="E1594:F1594"/>
    <mergeCell ref="C1332:D1332"/>
    <mergeCell ref="E1332:F1332"/>
    <mergeCell ref="G1332:H1332"/>
    <mergeCell ref="G1507:H1507"/>
    <mergeCell ref="E1404:F1404"/>
    <mergeCell ref="G1404:H1404"/>
    <mergeCell ref="C1519:D1519"/>
    <mergeCell ref="A1481:H1481"/>
    <mergeCell ref="E1411:F1411"/>
    <mergeCell ref="A1437:I1437"/>
    <mergeCell ref="A1397:A1398"/>
    <mergeCell ref="A1628:C1628"/>
    <mergeCell ref="C1588:D1588"/>
    <mergeCell ref="E1588:F1588"/>
    <mergeCell ref="G1588:H1588"/>
    <mergeCell ref="C1589:D1589"/>
    <mergeCell ref="A1626:C1626"/>
    <mergeCell ref="A1621:B1621"/>
    <mergeCell ref="A1590:H1590"/>
    <mergeCell ref="C1592:D1592"/>
    <mergeCell ref="C1594:D1594"/>
    <mergeCell ref="C1351:D1351"/>
    <mergeCell ref="E1351:F1351"/>
    <mergeCell ref="G1351:H1351"/>
    <mergeCell ref="A1507:A1508"/>
    <mergeCell ref="C1507:D1507"/>
    <mergeCell ref="E1587:F1587"/>
    <mergeCell ref="E1614:F1614"/>
    <mergeCell ref="C1586:D1586"/>
    <mergeCell ref="E1586:F1586"/>
    <mergeCell ref="C1587:D1587"/>
    <mergeCell ref="C1577:D1577"/>
    <mergeCell ref="C1595:D1595"/>
    <mergeCell ref="A1540:A1541"/>
    <mergeCell ref="C1617:D1617"/>
    <mergeCell ref="E1595:F1595"/>
    <mergeCell ref="E1608:F1608"/>
    <mergeCell ref="G1608:H1608"/>
    <mergeCell ref="C1439:D1439"/>
    <mergeCell ref="E1439:F1439"/>
    <mergeCell ref="C1527:D1527"/>
    <mergeCell ref="G1540:H1540"/>
    <mergeCell ref="G1586:H1586"/>
    <mergeCell ref="G1589:H1589"/>
    <mergeCell ref="E1589:F1589"/>
    <mergeCell ref="A1577:A1578"/>
    <mergeCell ref="G1439:H1439"/>
    <mergeCell ref="A1527:A1528"/>
    <mergeCell ref="E1527:F1527"/>
    <mergeCell ref="C1557:D1557"/>
    <mergeCell ref="E1577:F1577"/>
    <mergeCell ref="E1557:F1557"/>
    <mergeCell ref="E1568:F1568"/>
    <mergeCell ref="G1577:H1577"/>
    <mergeCell ref="C1607:D1607"/>
    <mergeCell ref="C1605:D1605"/>
    <mergeCell ref="G1605:H1605"/>
    <mergeCell ref="G1592:H1592"/>
    <mergeCell ref="G1519:H1519"/>
    <mergeCell ref="E1593:F1593"/>
    <mergeCell ref="E1592:F1592"/>
    <mergeCell ref="G1557:H1557"/>
    <mergeCell ref="G1595:H1595"/>
    <mergeCell ref="A1439:A1440"/>
    <mergeCell ref="C1540:D1540"/>
    <mergeCell ref="E1540:F1540"/>
    <mergeCell ref="A1384:A1385"/>
    <mergeCell ref="G1411:H1411"/>
    <mergeCell ref="A1601:J1601"/>
    <mergeCell ref="C1596:D1596"/>
    <mergeCell ref="G1397:H1397"/>
    <mergeCell ref="E1397:F1397"/>
    <mergeCell ref="A1452:H1452"/>
    <mergeCell ref="C1198:D1198"/>
    <mergeCell ref="A1295:A1296"/>
    <mergeCell ref="A1303:A1304"/>
    <mergeCell ref="A1404:A1405"/>
    <mergeCell ref="C1568:D1568"/>
    <mergeCell ref="G1384:H1384"/>
    <mergeCell ref="B1454:B1455"/>
    <mergeCell ref="G1527:H1527"/>
    <mergeCell ref="C1384:D1384"/>
    <mergeCell ref="E1384:F1384"/>
    <mergeCell ref="G1311:H1311"/>
    <mergeCell ref="C1418:D1418"/>
    <mergeCell ref="A1376:A1377"/>
    <mergeCell ref="G1390:H1390"/>
    <mergeCell ref="E1390:F1390"/>
    <mergeCell ref="A1411:A1412"/>
    <mergeCell ref="C1411:D1411"/>
    <mergeCell ref="A1351:A1352"/>
    <mergeCell ref="C1195:D1195"/>
    <mergeCell ref="E1195:F1195"/>
    <mergeCell ref="G1195:H1195"/>
    <mergeCell ref="C1194:D1194"/>
    <mergeCell ref="E1194:F1194"/>
    <mergeCell ref="A1418:A1419"/>
    <mergeCell ref="A1258:A1259"/>
    <mergeCell ref="C1199:D1199"/>
    <mergeCell ref="G1198:H1198"/>
    <mergeCell ref="E1311:F1311"/>
    <mergeCell ref="C1162:D1162"/>
    <mergeCell ref="C1187:D1187"/>
    <mergeCell ref="G1189:H1189"/>
    <mergeCell ref="E1189:F1189"/>
    <mergeCell ref="C1188:D1188"/>
    <mergeCell ref="G1188:H1188"/>
    <mergeCell ref="E1188:F1188"/>
    <mergeCell ref="G1194:H1194"/>
    <mergeCell ref="C1191:D1191"/>
    <mergeCell ref="E1191:F1191"/>
    <mergeCell ref="G1190:H1190"/>
    <mergeCell ref="C1163:D1163"/>
    <mergeCell ref="G1187:H1187"/>
    <mergeCell ref="G1191:H1191"/>
    <mergeCell ref="E1193:F1193"/>
    <mergeCell ref="G1159:H1159"/>
    <mergeCell ref="G1156:H1156"/>
    <mergeCell ref="C1156:D1156"/>
    <mergeCell ref="A1168:J1168"/>
    <mergeCell ref="E1162:F1162"/>
    <mergeCell ref="G1163:H1163"/>
    <mergeCell ref="C1159:D1159"/>
    <mergeCell ref="G1162:H1162"/>
    <mergeCell ref="G1161:H1161"/>
    <mergeCell ref="E1156:F1156"/>
    <mergeCell ref="C1152:D1152"/>
    <mergeCell ref="G1152:H1152"/>
    <mergeCell ref="C982:D982"/>
    <mergeCell ref="E982:F982"/>
    <mergeCell ref="G1000:H1000"/>
    <mergeCell ref="E1071:F1071"/>
    <mergeCell ref="E1068:F1068"/>
    <mergeCell ref="E1024:F1024"/>
    <mergeCell ref="C988:D988"/>
    <mergeCell ref="G1055:H1055"/>
    <mergeCell ref="E924:F924"/>
    <mergeCell ref="A933:H933"/>
    <mergeCell ref="C929:D929"/>
    <mergeCell ref="E929:F929"/>
    <mergeCell ref="G929:H929"/>
    <mergeCell ref="C930:D930"/>
    <mergeCell ref="E930:F930"/>
    <mergeCell ref="G930:H930"/>
    <mergeCell ref="G925:H925"/>
    <mergeCell ref="A931:J931"/>
    <mergeCell ref="C941:D941"/>
    <mergeCell ref="E937:F937"/>
    <mergeCell ref="C939:D939"/>
    <mergeCell ref="E939:F939"/>
    <mergeCell ref="G939:H939"/>
    <mergeCell ref="E970:F970"/>
    <mergeCell ref="E957:F957"/>
    <mergeCell ref="E959:F959"/>
    <mergeCell ref="C953:D953"/>
    <mergeCell ref="E953:F953"/>
    <mergeCell ref="A943:H943"/>
    <mergeCell ref="G971:H971"/>
    <mergeCell ref="E1000:F1000"/>
    <mergeCell ref="C987:D987"/>
    <mergeCell ref="E948:F948"/>
    <mergeCell ref="E989:F989"/>
    <mergeCell ref="G993:H993"/>
    <mergeCell ref="E950:F950"/>
    <mergeCell ref="G969:H969"/>
    <mergeCell ref="C961:D961"/>
    <mergeCell ref="E972:F972"/>
    <mergeCell ref="C1001:D1001"/>
    <mergeCell ref="E973:F973"/>
    <mergeCell ref="G977:H977"/>
    <mergeCell ref="G1007:H1007"/>
    <mergeCell ref="A983:J983"/>
    <mergeCell ref="C1070:D1070"/>
    <mergeCell ref="C1036:D1036"/>
    <mergeCell ref="E1037:F1037"/>
    <mergeCell ref="E1042:F1042"/>
    <mergeCell ref="E1070:F1070"/>
    <mergeCell ref="C1069:D1069"/>
    <mergeCell ref="A1043:J1043"/>
    <mergeCell ref="G1069:H1069"/>
    <mergeCell ref="C1060:D1060"/>
    <mergeCell ref="C1038:D1038"/>
    <mergeCell ref="G1010:H1010"/>
    <mergeCell ref="E1005:F1005"/>
    <mergeCell ref="C1000:D1000"/>
    <mergeCell ref="I1004:J1004"/>
    <mergeCell ref="C993:D993"/>
    <mergeCell ref="C1002:D1002"/>
    <mergeCell ref="I1008:J1008"/>
    <mergeCell ref="I1007:J1007"/>
    <mergeCell ref="I1006:J1006"/>
    <mergeCell ref="I1000:J1000"/>
    <mergeCell ref="C1035:D1035"/>
    <mergeCell ref="E1003:F1003"/>
    <mergeCell ref="C1005:D1005"/>
    <mergeCell ref="C1041:D1041"/>
    <mergeCell ref="A1023:H1023"/>
    <mergeCell ref="C1008:D1008"/>
    <mergeCell ref="C1030:D1030"/>
    <mergeCell ref="C1012:D1012"/>
    <mergeCell ref="E1012:F1012"/>
    <mergeCell ref="G1041:H1041"/>
    <mergeCell ref="E896:F896"/>
    <mergeCell ref="G917:H917"/>
    <mergeCell ref="E897:F897"/>
    <mergeCell ref="E927:F927"/>
    <mergeCell ref="G1001:H1001"/>
    <mergeCell ref="C914:D914"/>
    <mergeCell ref="G972:H972"/>
    <mergeCell ref="C986:D986"/>
    <mergeCell ref="G936:H936"/>
    <mergeCell ref="G924:H924"/>
    <mergeCell ref="C913:D913"/>
    <mergeCell ref="G923:H923"/>
    <mergeCell ref="G1003:H1003"/>
    <mergeCell ref="I1003:J1003"/>
    <mergeCell ref="G1002:H1002"/>
    <mergeCell ref="A998:L998"/>
    <mergeCell ref="E925:F925"/>
    <mergeCell ref="I1001:J1001"/>
    <mergeCell ref="I1002:J1002"/>
    <mergeCell ref="C997:D997"/>
    <mergeCell ref="G968:H968"/>
    <mergeCell ref="G973:H973"/>
    <mergeCell ref="C974:D974"/>
    <mergeCell ref="C945:D945"/>
    <mergeCell ref="C948:D948"/>
    <mergeCell ref="E914:F914"/>
    <mergeCell ref="G957:H957"/>
    <mergeCell ref="G959:H959"/>
    <mergeCell ref="E918:F918"/>
    <mergeCell ref="C923:D923"/>
    <mergeCell ref="I32:J32"/>
    <mergeCell ref="C31:D31"/>
    <mergeCell ref="E31:F31"/>
    <mergeCell ref="G40:H40"/>
    <mergeCell ref="G38:H38"/>
    <mergeCell ref="C64:D64"/>
    <mergeCell ref="C34:D34"/>
    <mergeCell ref="E34:F34"/>
    <mergeCell ref="G34:H34"/>
    <mergeCell ref="I34:J34"/>
    <mergeCell ref="E958:F958"/>
    <mergeCell ref="G44:H44"/>
    <mergeCell ref="E44:F44"/>
    <mergeCell ref="E57:F57"/>
    <mergeCell ref="C48:D48"/>
    <mergeCell ref="E48:F48"/>
    <mergeCell ref="G46:H46"/>
    <mergeCell ref="G914:H914"/>
    <mergeCell ref="G897:H897"/>
    <mergeCell ref="E923:F923"/>
    <mergeCell ref="I45:J45"/>
    <mergeCell ref="G949:H949"/>
    <mergeCell ref="G918:H918"/>
    <mergeCell ref="A919:H919"/>
    <mergeCell ref="A921:H921"/>
    <mergeCell ref="C937:D937"/>
    <mergeCell ref="C946:D946"/>
    <mergeCell ref="C57:D57"/>
    <mergeCell ref="C897:D897"/>
    <mergeCell ref="C924:D924"/>
    <mergeCell ref="E917:F917"/>
    <mergeCell ref="C32:D32"/>
    <mergeCell ref="E42:F42"/>
    <mergeCell ref="C42:D42"/>
    <mergeCell ref="C41:D41"/>
    <mergeCell ref="C36:D36"/>
    <mergeCell ref="E36:F36"/>
    <mergeCell ref="E41:F41"/>
    <mergeCell ref="C58:D58"/>
    <mergeCell ref="C56:D56"/>
    <mergeCell ref="G42:H42"/>
    <mergeCell ref="G43:H43"/>
    <mergeCell ref="G39:H39"/>
    <mergeCell ref="A28:F28"/>
    <mergeCell ref="C30:D30"/>
    <mergeCell ref="E30:F30"/>
    <mergeCell ref="G30:H30"/>
    <mergeCell ref="E33:F33"/>
    <mergeCell ref="G33:H33"/>
    <mergeCell ref="C38:D38"/>
    <mergeCell ref="I41:J41"/>
    <mergeCell ref="E32:F32"/>
    <mergeCell ref="G32:H32"/>
    <mergeCell ref="C33:D33"/>
    <mergeCell ref="A53:H53"/>
    <mergeCell ref="C39:D39"/>
    <mergeCell ref="E39:F39"/>
    <mergeCell ref="C45:D45"/>
    <mergeCell ref="E45:F45"/>
    <mergeCell ref="C44:D44"/>
    <mergeCell ref="I56:J56"/>
    <mergeCell ref="C55:D55"/>
    <mergeCell ref="C46:D46"/>
    <mergeCell ref="E46:F46"/>
    <mergeCell ref="I55:J55"/>
    <mergeCell ref="I57:J57"/>
    <mergeCell ref="E56:F56"/>
    <mergeCell ref="I46:J46"/>
    <mergeCell ref="I47:J47"/>
    <mergeCell ref="C47:D47"/>
    <mergeCell ref="I58:J58"/>
    <mergeCell ref="C35:D35"/>
    <mergeCell ref="E35:F35"/>
    <mergeCell ref="G35:H35"/>
    <mergeCell ref="E62:F62"/>
    <mergeCell ref="E43:F43"/>
    <mergeCell ref="C40:D40"/>
    <mergeCell ref="E58:F58"/>
    <mergeCell ref="C43:D43"/>
    <mergeCell ref="G56:H56"/>
    <mergeCell ref="G59:H59"/>
    <mergeCell ref="C60:D60"/>
    <mergeCell ref="G75:H75"/>
    <mergeCell ref="E74:F74"/>
    <mergeCell ref="G66:H66"/>
    <mergeCell ref="G67:H67"/>
    <mergeCell ref="E66:F66"/>
    <mergeCell ref="E67:F67"/>
    <mergeCell ref="E63:F63"/>
    <mergeCell ref="C63:D63"/>
    <mergeCell ref="G36:H36"/>
    <mergeCell ref="E40:F40"/>
    <mergeCell ref="C37:D37"/>
    <mergeCell ref="G45:H45"/>
    <mergeCell ref="C65:D65"/>
    <mergeCell ref="E65:F65"/>
    <mergeCell ref="C59:D59"/>
    <mergeCell ref="G41:H41"/>
    <mergeCell ref="E55:F55"/>
    <mergeCell ref="G55:H55"/>
    <mergeCell ref="G68:H68"/>
    <mergeCell ref="E68:F68"/>
    <mergeCell ref="C67:D67"/>
    <mergeCell ref="A69:H69"/>
    <mergeCell ref="G63:H63"/>
    <mergeCell ref="E64:F64"/>
    <mergeCell ref="G64:H64"/>
    <mergeCell ref="C76:D76"/>
    <mergeCell ref="E76:F76"/>
    <mergeCell ref="G76:H76"/>
    <mergeCell ref="G87:H87"/>
    <mergeCell ref="G61:H61"/>
    <mergeCell ref="E61:F61"/>
    <mergeCell ref="C62:D62"/>
    <mergeCell ref="G74:H74"/>
    <mergeCell ref="A70:H70"/>
    <mergeCell ref="C61:D61"/>
    <mergeCell ref="I87:J87"/>
    <mergeCell ref="C81:D81"/>
    <mergeCell ref="E81:F81"/>
    <mergeCell ref="G81:H81"/>
    <mergeCell ref="C79:D79"/>
    <mergeCell ref="G65:H65"/>
    <mergeCell ref="C78:D78"/>
    <mergeCell ref="E79:F79"/>
    <mergeCell ref="G79:H79"/>
    <mergeCell ref="I83:J83"/>
    <mergeCell ref="G94:H94"/>
    <mergeCell ref="G88:H88"/>
    <mergeCell ref="E85:F85"/>
    <mergeCell ref="G85:H85"/>
    <mergeCell ref="C86:D86"/>
    <mergeCell ref="E87:F87"/>
    <mergeCell ref="A91:H91"/>
    <mergeCell ref="E86:F86"/>
    <mergeCell ref="G86:H86"/>
    <mergeCell ref="A89:L89"/>
    <mergeCell ref="E96:F96"/>
    <mergeCell ref="G96:H96"/>
    <mergeCell ref="I96:J96"/>
    <mergeCell ref="C95:D95"/>
    <mergeCell ref="E95:F95"/>
    <mergeCell ref="G95:H95"/>
    <mergeCell ref="C82:D82"/>
    <mergeCell ref="E82:F82"/>
    <mergeCell ref="G82:H82"/>
    <mergeCell ref="C83:D83"/>
    <mergeCell ref="E83:F83"/>
    <mergeCell ref="C85:D85"/>
    <mergeCell ref="G84:H84"/>
    <mergeCell ref="C102:D102"/>
    <mergeCell ref="E102:F102"/>
    <mergeCell ref="G102:H102"/>
    <mergeCell ref="C103:D103"/>
    <mergeCell ref="E103:F103"/>
    <mergeCell ref="G103:H103"/>
    <mergeCell ref="E101:F101"/>
    <mergeCell ref="G101:H101"/>
    <mergeCell ref="C93:D93"/>
    <mergeCell ref="E93:F93"/>
    <mergeCell ref="G93:H93"/>
    <mergeCell ref="C94:D94"/>
    <mergeCell ref="C97:D97"/>
    <mergeCell ref="E97:F97"/>
    <mergeCell ref="G97:H97"/>
    <mergeCell ref="C96:D96"/>
    <mergeCell ref="G129:H129"/>
    <mergeCell ref="C126:D126"/>
    <mergeCell ref="E126:F126"/>
    <mergeCell ref="G128:H128"/>
    <mergeCell ref="E128:F128"/>
    <mergeCell ref="E105:F105"/>
    <mergeCell ref="G105:H105"/>
    <mergeCell ref="G108:H108"/>
    <mergeCell ref="G111:H111"/>
    <mergeCell ref="A112:H112"/>
    <mergeCell ref="C117:D117"/>
    <mergeCell ref="G117:H117"/>
    <mergeCell ref="C122:D122"/>
    <mergeCell ref="E122:F122"/>
    <mergeCell ref="I94:J94"/>
    <mergeCell ref="C104:D104"/>
    <mergeCell ref="E104:F104"/>
    <mergeCell ref="G104:H104"/>
    <mergeCell ref="C105:D105"/>
    <mergeCell ref="C101:D101"/>
    <mergeCell ref="C125:D125"/>
    <mergeCell ref="E125:F125"/>
    <mergeCell ref="G125:H125"/>
    <mergeCell ref="E123:F123"/>
    <mergeCell ref="G126:H126"/>
    <mergeCell ref="G124:H124"/>
    <mergeCell ref="C123:D123"/>
    <mergeCell ref="G123:H123"/>
    <mergeCell ref="C124:D124"/>
    <mergeCell ref="E124:F124"/>
    <mergeCell ref="E109:F109"/>
    <mergeCell ref="G109:H109"/>
    <mergeCell ref="G122:H122"/>
    <mergeCell ref="E115:F115"/>
    <mergeCell ref="G115:H115"/>
    <mergeCell ref="A120:H120"/>
    <mergeCell ref="C116:D116"/>
    <mergeCell ref="E116:F116"/>
    <mergeCell ref="G116:H116"/>
    <mergeCell ref="A118:H118"/>
    <mergeCell ref="C156:D156"/>
    <mergeCell ref="E156:F156"/>
    <mergeCell ref="G156:H156"/>
    <mergeCell ref="C157:D157"/>
    <mergeCell ref="E157:F157"/>
    <mergeCell ref="C158:D158"/>
    <mergeCell ref="C127:D127"/>
    <mergeCell ref="E127:F127"/>
    <mergeCell ref="G127:H127"/>
    <mergeCell ref="C138:D138"/>
    <mergeCell ref="G141:H141"/>
    <mergeCell ref="E138:F138"/>
    <mergeCell ref="G138:H138"/>
    <mergeCell ref="C130:D130"/>
    <mergeCell ref="C129:D129"/>
    <mergeCell ref="E129:F129"/>
    <mergeCell ref="C139:D139"/>
    <mergeCell ref="E139:F139"/>
    <mergeCell ref="G139:H139"/>
    <mergeCell ref="I200:J200"/>
    <mergeCell ref="I194:J194"/>
    <mergeCell ref="E200:F200"/>
    <mergeCell ref="G195:H195"/>
    <mergeCell ref="G199:H199"/>
    <mergeCell ref="G158:H158"/>
    <mergeCell ref="C159:D159"/>
    <mergeCell ref="E181:F181"/>
    <mergeCell ref="E179:F179"/>
    <mergeCell ref="G179:H179"/>
    <mergeCell ref="G181:H181"/>
    <mergeCell ref="E178:F178"/>
    <mergeCell ref="E130:F130"/>
    <mergeCell ref="G130:H130"/>
    <mergeCell ref="E159:F159"/>
    <mergeCell ref="G159:H159"/>
    <mergeCell ref="G153:H153"/>
    <mergeCell ref="G143:H143"/>
    <mergeCell ref="G168:H168"/>
    <mergeCell ref="G171:H171"/>
    <mergeCell ref="C192:D192"/>
    <mergeCell ref="E173:F173"/>
    <mergeCell ref="C178:D178"/>
    <mergeCell ref="C190:D190"/>
    <mergeCell ref="G178:H178"/>
    <mergeCell ref="E190:F190"/>
    <mergeCell ref="G190:H190"/>
    <mergeCell ref="C164:H164"/>
    <mergeCell ref="C160:D160"/>
    <mergeCell ref="E160:F160"/>
    <mergeCell ref="G160:H160"/>
    <mergeCell ref="G174:H174"/>
    <mergeCell ref="C168:D168"/>
    <mergeCell ref="E168:F168"/>
    <mergeCell ref="I174:J174"/>
    <mergeCell ref="C176:D176"/>
    <mergeCell ref="G176:H176"/>
    <mergeCell ref="I176:J176"/>
    <mergeCell ref="C177:D177"/>
    <mergeCell ref="E177:F177"/>
    <mergeCell ref="A175:H175"/>
    <mergeCell ref="I168:J168"/>
    <mergeCell ref="C169:D169"/>
    <mergeCell ref="E169:F169"/>
    <mergeCell ref="G169:H169"/>
    <mergeCell ref="I169:J169"/>
    <mergeCell ref="G177:H177"/>
    <mergeCell ref="I177:J177"/>
    <mergeCell ref="E176:F176"/>
    <mergeCell ref="C171:D171"/>
    <mergeCell ref="E171:F171"/>
    <mergeCell ref="G142:H142"/>
    <mergeCell ref="G144:H144"/>
    <mergeCell ref="C144:D144"/>
    <mergeCell ref="E144:F144"/>
    <mergeCell ref="E149:F149"/>
    <mergeCell ref="G150:H150"/>
    <mergeCell ref="C150:D150"/>
    <mergeCell ref="C142:D142"/>
    <mergeCell ref="C143:D143"/>
    <mergeCell ref="E143:F143"/>
    <mergeCell ref="C140:D140"/>
    <mergeCell ref="E140:F140"/>
    <mergeCell ref="G140:H140"/>
    <mergeCell ref="C141:D141"/>
    <mergeCell ref="E141:F141"/>
    <mergeCell ref="E152:F152"/>
    <mergeCell ref="C149:D149"/>
    <mergeCell ref="A147:H147"/>
    <mergeCell ref="G149:H149"/>
    <mergeCell ref="E142:F142"/>
    <mergeCell ref="C153:D153"/>
    <mergeCell ref="G152:H152"/>
    <mergeCell ref="C151:D151"/>
    <mergeCell ref="G166:H166"/>
    <mergeCell ref="C165:D165"/>
    <mergeCell ref="E165:F165"/>
    <mergeCell ref="G165:H165"/>
    <mergeCell ref="G157:H157"/>
    <mergeCell ref="A163:H163"/>
    <mergeCell ref="A161:H161"/>
    <mergeCell ref="E158:F158"/>
    <mergeCell ref="E166:F166"/>
    <mergeCell ref="E167:F167"/>
    <mergeCell ref="E153:F153"/>
    <mergeCell ref="E150:F150"/>
    <mergeCell ref="A154:H154"/>
    <mergeCell ref="E151:F151"/>
    <mergeCell ref="G167:H167"/>
    <mergeCell ref="G151:H151"/>
    <mergeCell ref="C152:D152"/>
    <mergeCell ref="I167:J167"/>
    <mergeCell ref="A201:H201"/>
    <mergeCell ref="C215:D215"/>
    <mergeCell ref="G215:H215"/>
    <mergeCell ref="G214:H214"/>
    <mergeCell ref="G189:H189"/>
    <mergeCell ref="C182:D182"/>
    <mergeCell ref="E182:F182"/>
    <mergeCell ref="C179:D179"/>
    <mergeCell ref="E199:F199"/>
    <mergeCell ref="G173:H173"/>
    <mergeCell ref="C199:D199"/>
    <mergeCell ref="E210:F210"/>
    <mergeCell ref="G210:H210"/>
    <mergeCell ref="C173:D173"/>
    <mergeCell ref="C200:D200"/>
    <mergeCell ref="E196:F196"/>
    <mergeCell ref="E198:F198"/>
    <mergeCell ref="G198:H198"/>
    <mergeCell ref="C198:D198"/>
    <mergeCell ref="C268:D268"/>
    <mergeCell ref="I166:J166"/>
    <mergeCell ref="C167:D167"/>
    <mergeCell ref="C191:D191"/>
    <mergeCell ref="G182:H182"/>
    <mergeCell ref="A187:H187"/>
    <mergeCell ref="I191:J191"/>
    <mergeCell ref="I182:J182"/>
    <mergeCell ref="C180:D180"/>
    <mergeCell ref="E180:F180"/>
    <mergeCell ref="G257:H257"/>
    <mergeCell ref="I181:J181"/>
    <mergeCell ref="C273:D273"/>
    <mergeCell ref="E273:F273"/>
    <mergeCell ref="E274:F274"/>
    <mergeCell ref="G274:H274"/>
    <mergeCell ref="G272:H272"/>
    <mergeCell ref="E239:F239"/>
    <mergeCell ref="G239:H239"/>
    <mergeCell ref="C257:D257"/>
    <mergeCell ref="G249:H249"/>
    <mergeCell ref="A250:J250"/>
    <mergeCell ref="C254:D254"/>
    <mergeCell ref="E254:F254"/>
    <mergeCell ref="G254:H254"/>
    <mergeCell ref="C255:D255"/>
    <mergeCell ref="C267:D267"/>
    <mergeCell ref="E267:F267"/>
    <mergeCell ref="G264:H264"/>
    <mergeCell ref="C265:D265"/>
    <mergeCell ref="E265:F265"/>
    <mergeCell ref="G267:H267"/>
    <mergeCell ref="G265:H265"/>
    <mergeCell ref="C266:D266"/>
    <mergeCell ref="E266:F266"/>
    <mergeCell ref="C289:D289"/>
    <mergeCell ref="E289:F289"/>
    <mergeCell ref="G289:H289"/>
    <mergeCell ref="E288:F288"/>
    <mergeCell ref="G277:H277"/>
    <mergeCell ref="C275:D275"/>
    <mergeCell ref="E275:F275"/>
    <mergeCell ref="C286:D286"/>
    <mergeCell ref="E286:F286"/>
    <mergeCell ref="G286:H286"/>
    <mergeCell ref="G269:H269"/>
    <mergeCell ref="C293:D293"/>
    <mergeCell ref="G275:H275"/>
    <mergeCell ref="C276:D276"/>
    <mergeCell ref="E276:F276"/>
    <mergeCell ref="G276:H276"/>
    <mergeCell ref="E277:F277"/>
    <mergeCell ref="G288:H288"/>
    <mergeCell ref="C284:D284"/>
    <mergeCell ref="C290:D290"/>
    <mergeCell ref="E294:F294"/>
    <mergeCell ref="G294:H294"/>
    <mergeCell ref="C278:D278"/>
    <mergeCell ref="E278:F278"/>
    <mergeCell ref="G278:H278"/>
    <mergeCell ref="E290:F290"/>
    <mergeCell ref="G290:H290"/>
    <mergeCell ref="E284:F284"/>
    <mergeCell ref="G284:H284"/>
    <mergeCell ref="E285:F285"/>
    <mergeCell ref="C299:D299"/>
    <mergeCell ref="E299:F299"/>
    <mergeCell ref="G299:H299"/>
    <mergeCell ref="E293:F293"/>
    <mergeCell ref="G293:H293"/>
    <mergeCell ref="C294:D294"/>
    <mergeCell ref="C296:D296"/>
    <mergeCell ref="E296:F296"/>
    <mergeCell ref="G296:H296"/>
    <mergeCell ref="C295:D295"/>
    <mergeCell ref="E306:F306"/>
    <mergeCell ref="C300:D300"/>
    <mergeCell ref="E300:F300"/>
    <mergeCell ref="G300:H300"/>
    <mergeCell ref="C297:D297"/>
    <mergeCell ref="E297:F297"/>
    <mergeCell ref="G297:H297"/>
    <mergeCell ref="C298:D298"/>
    <mergeCell ref="E298:F298"/>
    <mergeCell ref="G298:H298"/>
    <mergeCell ref="C327:D327"/>
    <mergeCell ref="E295:F295"/>
    <mergeCell ref="G295:H295"/>
    <mergeCell ref="E311:F311"/>
    <mergeCell ref="E308:F308"/>
    <mergeCell ref="G308:H308"/>
    <mergeCell ref="C301:D301"/>
    <mergeCell ref="E301:F301"/>
    <mergeCell ref="G301:H301"/>
    <mergeCell ref="C306:D306"/>
    <mergeCell ref="C314:D314"/>
    <mergeCell ref="C325:D325"/>
    <mergeCell ref="C333:D333"/>
    <mergeCell ref="C328:D328"/>
    <mergeCell ref="E328:F328"/>
    <mergeCell ref="G328:H328"/>
    <mergeCell ref="C331:D331"/>
    <mergeCell ref="E333:F333"/>
    <mergeCell ref="G332:H332"/>
    <mergeCell ref="G326:H326"/>
    <mergeCell ref="C307:D307"/>
    <mergeCell ref="E307:F307"/>
    <mergeCell ref="G307:H307"/>
    <mergeCell ref="C308:D308"/>
    <mergeCell ref="C309:D309"/>
    <mergeCell ref="E309:F309"/>
    <mergeCell ref="C321:D321"/>
    <mergeCell ref="E322:F322"/>
    <mergeCell ref="G322:H322"/>
    <mergeCell ref="C323:D323"/>
    <mergeCell ref="C316:D316"/>
    <mergeCell ref="E316:F316"/>
    <mergeCell ref="G316:H316"/>
    <mergeCell ref="C320:D320"/>
    <mergeCell ref="E320:F320"/>
    <mergeCell ref="G320:H320"/>
    <mergeCell ref="C324:D324"/>
    <mergeCell ref="E324:F324"/>
    <mergeCell ref="G306:H306"/>
    <mergeCell ref="C311:D311"/>
    <mergeCell ref="C313:D313"/>
    <mergeCell ref="E313:F313"/>
    <mergeCell ref="G317:H317"/>
    <mergeCell ref="C315:D315"/>
    <mergeCell ref="E315:F315"/>
    <mergeCell ref="G315:H315"/>
    <mergeCell ref="C337:D337"/>
    <mergeCell ref="E337:F337"/>
    <mergeCell ref="G337:H337"/>
    <mergeCell ref="C336:D336"/>
    <mergeCell ref="E336:F336"/>
    <mergeCell ref="G336:H336"/>
    <mergeCell ref="C335:D335"/>
    <mergeCell ref="C334:D334"/>
    <mergeCell ref="E334:F334"/>
    <mergeCell ref="C332:D332"/>
    <mergeCell ref="G333:H333"/>
    <mergeCell ref="E332:F332"/>
    <mergeCell ref="E327:F327"/>
    <mergeCell ref="G327:H327"/>
    <mergeCell ref="E331:F331"/>
    <mergeCell ref="G331:H331"/>
    <mergeCell ref="E335:F335"/>
    <mergeCell ref="G335:H335"/>
    <mergeCell ref="G334:H334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2:D342"/>
    <mergeCell ref="E342:F342"/>
    <mergeCell ref="G342:H342"/>
    <mergeCell ref="I342:J342"/>
    <mergeCell ref="C340:D340"/>
    <mergeCell ref="C343:D343"/>
    <mergeCell ref="E343:F343"/>
    <mergeCell ref="G343:H343"/>
    <mergeCell ref="I343:J343"/>
    <mergeCell ref="I340:J340"/>
    <mergeCell ref="I341:J341"/>
    <mergeCell ref="E340:F340"/>
    <mergeCell ref="G340:H340"/>
    <mergeCell ref="C341:D341"/>
    <mergeCell ref="E341:F341"/>
    <mergeCell ref="G341:H341"/>
    <mergeCell ref="C352:D352"/>
    <mergeCell ref="E352:F352"/>
    <mergeCell ref="G352:H352"/>
    <mergeCell ref="C353:D353"/>
    <mergeCell ref="E353:F353"/>
    <mergeCell ref="G353:H353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62:D362"/>
    <mergeCell ref="E362:F362"/>
    <mergeCell ref="G362:H362"/>
    <mergeCell ref="E357:F357"/>
    <mergeCell ref="I362:J362"/>
    <mergeCell ref="C357:D357"/>
    <mergeCell ref="G357:H357"/>
    <mergeCell ref="C358:D358"/>
    <mergeCell ref="E358:F358"/>
    <mergeCell ref="C359:D359"/>
    <mergeCell ref="G359:H359"/>
    <mergeCell ref="C355:D355"/>
    <mergeCell ref="E355:F355"/>
    <mergeCell ref="G355:H355"/>
    <mergeCell ref="C356:D356"/>
    <mergeCell ref="G358:H358"/>
    <mergeCell ref="C401:D401"/>
    <mergeCell ref="E401:F401"/>
    <mergeCell ref="G401:H401"/>
    <mergeCell ref="C402:D402"/>
    <mergeCell ref="E402:F402"/>
    <mergeCell ref="G402:H402"/>
    <mergeCell ref="C400:D400"/>
    <mergeCell ref="E400:F400"/>
    <mergeCell ref="G400:H400"/>
    <mergeCell ref="C394:D394"/>
    <mergeCell ref="E394:F394"/>
    <mergeCell ref="G394:H394"/>
    <mergeCell ref="C395:D395"/>
    <mergeCell ref="C397:D397"/>
    <mergeCell ref="E397:F397"/>
    <mergeCell ref="G397:H397"/>
    <mergeCell ref="E381:F381"/>
    <mergeCell ref="E392:F392"/>
    <mergeCell ref="G392:H392"/>
    <mergeCell ref="C384:D384"/>
    <mergeCell ref="E384:F384"/>
    <mergeCell ref="G384:H384"/>
    <mergeCell ref="G385:H385"/>
    <mergeCell ref="G391:H391"/>
    <mergeCell ref="C391:D391"/>
    <mergeCell ref="C382:D382"/>
    <mergeCell ref="E395:F395"/>
    <mergeCell ref="G395:H395"/>
    <mergeCell ref="G382:H382"/>
    <mergeCell ref="G396:H396"/>
    <mergeCell ref="C393:D393"/>
    <mergeCell ref="G393:H393"/>
    <mergeCell ref="E382:F382"/>
    <mergeCell ref="E396:F396"/>
    <mergeCell ref="E388:F388"/>
    <mergeCell ref="C383:D383"/>
    <mergeCell ref="E405:F405"/>
    <mergeCell ref="G405:H405"/>
    <mergeCell ref="G412:H412"/>
    <mergeCell ref="C409:D409"/>
    <mergeCell ref="E409:F409"/>
    <mergeCell ref="G409:H409"/>
    <mergeCell ref="C410:D410"/>
    <mergeCell ref="E410:F410"/>
    <mergeCell ref="G410:H410"/>
    <mergeCell ref="C403:D403"/>
    <mergeCell ref="E403:F403"/>
    <mergeCell ref="G403:H403"/>
    <mergeCell ref="C406:D406"/>
    <mergeCell ref="E406:F406"/>
    <mergeCell ref="G406:H406"/>
    <mergeCell ref="C404:D404"/>
    <mergeCell ref="E404:F404"/>
    <mergeCell ref="G404:H404"/>
    <mergeCell ref="C405:D405"/>
    <mergeCell ref="A413:J413"/>
    <mergeCell ref="C411:D411"/>
    <mergeCell ref="E411:F411"/>
    <mergeCell ref="G411:H411"/>
    <mergeCell ref="C412:D412"/>
    <mergeCell ref="E412:F412"/>
    <mergeCell ref="E539:F539"/>
    <mergeCell ref="G423:H423"/>
    <mergeCell ref="C607:D607"/>
    <mergeCell ref="E557:F557"/>
    <mergeCell ref="G540:H540"/>
    <mergeCell ref="G554:H554"/>
    <mergeCell ref="G461:H461"/>
    <mergeCell ref="C462:D462"/>
    <mergeCell ref="E462:F462"/>
    <mergeCell ref="G462:H462"/>
    <mergeCell ref="E456:F456"/>
    <mergeCell ref="C423:D423"/>
    <mergeCell ref="E423:F423"/>
    <mergeCell ref="E449:F449"/>
    <mergeCell ref="C443:D443"/>
    <mergeCell ref="E447:F447"/>
    <mergeCell ref="C439:D439"/>
    <mergeCell ref="E481:F481"/>
    <mergeCell ref="G481:H481"/>
    <mergeCell ref="G480:H480"/>
    <mergeCell ref="C481:D481"/>
    <mergeCell ref="C463:D463"/>
    <mergeCell ref="E463:F463"/>
    <mergeCell ref="C544:D544"/>
    <mergeCell ref="E607:F607"/>
    <mergeCell ref="C557:D557"/>
    <mergeCell ref="G449:H449"/>
    <mergeCell ref="C456:D456"/>
    <mergeCell ref="G470:H470"/>
    <mergeCell ref="C468:D468"/>
    <mergeCell ref="E468:F468"/>
    <mergeCell ref="C478:D478"/>
    <mergeCell ref="E478:F478"/>
    <mergeCell ref="C479:D479"/>
    <mergeCell ref="E479:F479"/>
    <mergeCell ref="G479:H479"/>
    <mergeCell ref="C480:D480"/>
    <mergeCell ref="E480:F480"/>
    <mergeCell ref="G477:H477"/>
    <mergeCell ref="G478:H478"/>
    <mergeCell ref="G447:H447"/>
    <mergeCell ref="C447:D447"/>
    <mergeCell ref="C477:D477"/>
    <mergeCell ref="E477:F477"/>
    <mergeCell ref="C449:D449"/>
    <mergeCell ref="G458:H458"/>
    <mergeCell ref="E467:F467"/>
    <mergeCell ref="G467:H467"/>
    <mergeCell ref="E461:F461"/>
    <mergeCell ref="G476:H476"/>
    <mergeCell ref="E504:F504"/>
    <mergeCell ref="G501:H501"/>
    <mergeCell ref="G502:H502"/>
    <mergeCell ref="C499:D499"/>
    <mergeCell ref="E499:F499"/>
    <mergeCell ref="G499:H499"/>
    <mergeCell ref="G504:H504"/>
    <mergeCell ref="G503:H503"/>
    <mergeCell ref="E501:F501"/>
    <mergeCell ref="E502:F502"/>
    <mergeCell ref="C489:D489"/>
    <mergeCell ref="E489:F489"/>
    <mergeCell ref="G489:H489"/>
    <mergeCell ref="C490:D490"/>
    <mergeCell ref="E490:F490"/>
    <mergeCell ref="G490:H490"/>
    <mergeCell ref="C491:D491"/>
    <mergeCell ref="E491:F491"/>
    <mergeCell ref="G491:H491"/>
    <mergeCell ref="C493:D493"/>
    <mergeCell ref="E493:F493"/>
    <mergeCell ref="G493:H493"/>
    <mergeCell ref="C483:D483"/>
    <mergeCell ref="E466:F466"/>
    <mergeCell ref="G466:H466"/>
    <mergeCell ref="C459:D459"/>
    <mergeCell ref="E459:F459"/>
    <mergeCell ref="G459:H459"/>
    <mergeCell ref="C460:D460"/>
    <mergeCell ref="E460:F460"/>
    <mergeCell ref="G460:H460"/>
    <mergeCell ref="E469:F469"/>
    <mergeCell ref="C457:D457"/>
    <mergeCell ref="E457:F457"/>
    <mergeCell ref="G457:H457"/>
    <mergeCell ref="C458:D458"/>
    <mergeCell ref="E473:F473"/>
    <mergeCell ref="G473:H473"/>
    <mergeCell ref="C470:D470"/>
    <mergeCell ref="E470:F470"/>
    <mergeCell ref="C467:D467"/>
    <mergeCell ref="C461:D461"/>
    <mergeCell ref="C466:D466"/>
    <mergeCell ref="E509:F509"/>
    <mergeCell ref="C509:D509"/>
    <mergeCell ref="C503:D503"/>
    <mergeCell ref="E483:F483"/>
    <mergeCell ref="C487:D487"/>
    <mergeCell ref="E487:F487"/>
    <mergeCell ref="E506:F506"/>
    <mergeCell ref="C494:D494"/>
    <mergeCell ref="E476:F476"/>
    <mergeCell ref="G527:H527"/>
    <mergeCell ref="C508:D508"/>
    <mergeCell ref="E523:F523"/>
    <mergeCell ref="C516:D516"/>
    <mergeCell ref="C517:D517"/>
    <mergeCell ref="G508:H508"/>
    <mergeCell ref="E521:F521"/>
    <mergeCell ref="G516:H516"/>
    <mergeCell ref="G521:H521"/>
    <mergeCell ref="C526:D526"/>
    <mergeCell ref="I499:J499"/>
    <mergeCell ref="C500:D500"/>
    <mergeCell ref="E500:F500"/>
    <mergeCell ref="G500:H500"/>
    <mergeCell ref="I500:J500"/>
    <mergeCell ref="E458:F458"/>
    <mergeCell ref="I496:J496"/>
    <mergeCell ref="C497:D497"/>
    <mergeCell ref="E497:F497"/>
    <mergeCell ref="G497:H497"/>
    <mergeCell ref="I497:J497"/>
    <mergeCell ref="C498:D498"/>
    <mergeCell ref="E498:F498"/>
    <mergeCell ref="G498:H498"/>
    <mergeCell ref="I498:J498"/>
    <mergeCell ref="C471:D471"/>
    <mergeCell ref="E471:F471"/>
    <mergeCell ref="G471:H471"/>
    <mergeCell ref="C496:D496"/>
    <mergeCell ref="E496:F496"/>
    <mergeCell ref="C527:D527"/>
    <mergeCell ref="C531:D531"/>
    <mergeCell ref="C537:D537"/>
    <mergeCell ref="C535:D535"/>
    <mergeCell ref="E535:F535"/>
    <mergeCell ref="C506:D506"/>
    <mergeCell ref="C515:D515"/>
    <mergeCell ref="E515:F515"/>
    <mergeCell ref="G515:H515"/>
    <mergeCell ref="G496:H496"/>
    <mergeCell ref="G468:H468"/>
    <mergeCell ref="G469:H469"/>
    <mergeCell ref="E503:F503"/>
    <mergeCell ref="C474:D474"/>
    <mergeCell ref="E474:F474"/>
    <mergeCell ref="G482:H482"/>
    <mergeCell ref="E529:F529"/>
    <mergeCell ref="G528:H528"/>
    <mergeCell ref="E530:F530"/>
    <mergeCell ref="G529:H529"/>
    <mergeCell ref="G506:H506"/>
    <mergeCell ref="C507:D507"/>
    <mergeCell ref="E507:F507"/>
    <mergeCell ref="G507:H507"/>
    <mergeCell ref="C520:D520"/>
    <mergeCell ref="E520:F520"/>
    <mergeCell ref="G555:H555"/>
    <mergeCell ref="G557:H557"/>
    <mergeCell ref="C558:D558"/>
    <mergeCell ref="E558:F558"/>
    <mergeCell ref="E555:F555"/>
    <mergeCell ref="C532:D532"/>
    <mergeCell ref="E532:F532"/>
    <mergeCell ref="G532:H532"/>
    <mergeCell ref="E545:F545"/>
    <mergeCell ref="G539:H539"/>
    <mergeCell ref="E538:F538"/>
    <mergeCell ref="C536:D536"/>
    <mergeCell ref="C547:D547"/>
    <mergeCell ref="E547:F547"/>
    <mergeCell ref="G547:H547"/>
    <mergeCell ref="E546:F546"/>
    <mergeCell ref="C539:D539"/>
    <mergeCell ref="C540:D540"/>
    <mergeCell ref="C543:D543"/>
    <mergeCell ref="E536:F536"/>
    <mergeCell ref="G535:H535"/>
    <mergeCell ref="E537:F537"/>
    <mergeCell ref="C513:D513"/>
    <mergeCell ref="E513:F513"/>
    <mergeCell ref="G513:H513"/>
    <mergeCell ref="C514:D514"/>
    <mergeCell ref="E514:F514"/>
    <mergeCell ref="G514:H514"/>
    <mergeCell ref="C529:D529"/>
    <mergeCell ref="C528:D528"/>
    <mergeCell ref="E526:F526"/>
    <mergeCell ref="G526:H526"/>
    <mergeCell ref="C521:D521"/>
    <mergeCell ref="G517:H517"/>
    <mergeCell ref="E516:F516"/>
    <mergeCell ref="E517:F517"/>
    <mergeCell ref="E522:F522"/>
    <mergeCell ref="G522:H522"/>
    <mergeCell ref="G520:H520"/>
    <mergeCell ref="G887:H887"/>
    <mergeCell ref="C851:D851"/>
    <mergeCell ref="E882:F882"/>
    <mergeCell ref="G882:H882"/>
    <mergeCell ref="E887:F887"/>
    <mergeCell ref="E865:F865"/>
    <mergeCell ref="G864:H864"/>
    <mergeCell ref="C863:D863"/>
    <mergeCell ref="G867:H867"/>
    <mergeCell ref="C866:D866"/>
    <mergeCell ref="G537:H537"/>
    <mergeCell ref="C561:D561"/>
    <mergeCell ref="E561:F561"/>
    <mergeCell ref="G561:H561"/>
    <mergeCell ref="C548:D548"/>
    <mergeCell ref="C545:D545"/>
    <mergeCell ref="C551:D551"/>
    <mergeCell ref="E551:F551"/>
    <mergeCell ref="G551:H551"/>
    <mergeCell ref="C559:D559"/>
    <mergeCell ref="G559:H559"/>
    <mergeCell ref="E548:F548"/>
    <mergeCell ref="G545:H545"/>
    <mergeCell ref="C546:D546"/>
    <mergeCell ref="E553:F553"/>
    <mergeCell ref="G558:H558"/>
    <mergeCell ref="C555:D555"/>
    <mergeCell ref="C552:D552"/>
    <mergeCell ref="G552:H552"/>
    <mergeCell ref="G553:H553"/>
    <mergeCell ref="G866:H866"/>
    <mergeCell ref="C739:D739"/>
    <mergeCell ref="E886:F886"/>
    <mergeCell ref="E867:F867"/>
    <mergeCell ref="E869:F869"/>
    <mergeCell ref="C792:D792"/>
    <mergeCell ref="C793:D793"/>
    <mergeCell ref="C794:D794"/>
    <mergeCell ref="E793:F793"/>
    <mergeCell ref="E794:F794"/>
    <mergeCell ref="A859:L859"/>
    <mergeCell ref="A845:J845"/>
    <mergeCell ref="C569:D569"/>
    <mergeCell ref="E569:F569"/>
    <mergeCell ref="G569:H569"/>
    <mergeCell ref="A587:H587"/>
    <mergeCell ref="A589:A590"/>
    <mergeCell ref="C589:D589"/>
    <mergeCell ref="C612:D612"/>
    <mergeCell ref="C613:D613"/>
    <mergeCell ref="G571:H571"/>
    <mergeCell ref="E844:F844"/>
    <mergeCell ref="E838:F838"/>
    <mergeCell ref="C841:D841"/>
    <mergeCell ref="E839:F839"/>
    <mergeCell ref="E610:F610"/>
    <mergeCell ref="E606:F606"/>
    <mergeCell ref="E638:F638"/>
    <mergeCell ref="A714:H714"/>
    <mergeCell ref="C840:D840"/>
    <mergeCell ref="E612:F612"/>
    <mergeCell ref="G612:H612"/>
    <mergeCell ref="E613:F613"/>
    <mergeCell ref="G613:H613"/>
    <mergeCell ref="G641:H641"/>
    <mergeCell ref="E589:F589"/>
    <mergeCell ref="G589:H589"/>
    <mergeCell ref="G610:H610"/>
    <mergeCell ref="A653:J653"/>
    <mergeCell ref="A654:J654"/>
    <mergeCell ref="A655:J655"/>
    <mergeCell ref="C609:D609"/>
    <mergeCell ref="C611:D611"/>
    <mergeCell ref="E611:F611"/>
    <mergeCell ref="G611:H611"/>
    <mergeCell ref="C642:D642"/>
    <mergeCell ref="E642:F642"/>
    <mergeCell ref="A697:K698"/>
    <mergeCell ref="E691:F691"/>
    <mergeCell ref="G691:H691"/>
    <mergeCell ref="G644:H644"/>
    <mergeCell ref="A674:A675"/>
    <mergeCell ref="G609:H609"/>
    <mergeCell ref="G666:H666"/>
    <mergeCell ref="E643:F643"/>
    <mergeCell ref="E644:F644"/>
    <mergeCell ref="G643:H643"/>
    <mergeCell ref="A797:H797"/>
    <mergeCell ref="C619:D619"/>
    <mergeCell ref="E619:F619"/>
    <mergeCell ref="G645:H645"/>
    <mergeCell ref="C651:D651"/>
    <mergeCell ref="C691:D691"/>
    <mergeCell ref="E792:F792"/>
    <mergeCell ref="G792:H792"/>
    <mergeCell ref="A695:K695"/>
    <mergeCell ref="A696:K696"/>
    <mergeCell ref="A757:H757"/>
    <mergeCell ref="B758:H758"/>
    <mergeCell ref="C716:D716"/>
    <mergeCell ref="G674:H674"/>
    <mergeCell ref="C734:D734"/>
    <mergeCell ref="C707:D707"/>
    <mergeCell ref="E707:F707"/>
    <mergeCell ref="E689:F689"/>
    <mergeCell ref="C674:D674"/>
    <mergeCell ref="E674:F674"/>
    <mergeCell ref="E690:F690"/>
    <mergeCell ref="G690:H690"/>
    <mergeCell ref="G648:H648"/>
    <mergeCell ref="G647:H647"/>
    <mergeCell ref="C649:D649"/>
    <mergeCell ref="E648:F648"/>
    <mergeCell ref="C690:D690"/>
    <mergeCell ref="C689:D689"/>
    <mergeCell ref="C647:D647"/>
    <mergeCell ref="A656:J656"/>
    <mergeCell ref="C645:D645"/>
    <mergeCell ref="E645:F645"/>
    <mergeCell ref="E650:F650"/>
    <mergeCell ref="E647:F647"/>
    <mergeCell ref="G801:H801"/>
    <mergeCell ref="E709:F709"/>
    <mergeCell ref="G709:H709"/>
    <mergeCell ref="E710:F710"/>
    <mergeCell ref="G759:H759"/>
    <mergeCell ref="C737:D737"/>
    <mergeCell ref="G707:H707"/>
    <mergeCell ref="G710:H710"/>
    <mergeCell ref="C711:D711"/>
    <mergeCell ref="G728:H728"/>
    <mergeCell ref="E716:F716"/>
    <mergeCell ref="G716:H716"/>
    <mergeCell ref="E717:F717"/>
    <mergeCell ref="G717:H717"/>
    <mergeCell ref="G725:H725"/>
    <mergeCell ref="C725:D725"/>
    <mergeCell ref="C749:D749"/>
    <mergeCell ref="A729:H729"/>
    <mergeCell ref="A680:H680"/>
    <mergeCell ref="E682:F682"/>
    <mergeCell ref="G682:H682"/>
    <mergeCell ref="A682:A683"/>
    <mergeCell ref="C682:D682"/>
    <mergeCell ref="C735:D735"/>
    <mergeCell ref="E725:F725"/>
    <mergeCell ref="G726:H726"/>
    <mergeCell ref="G787:H787"/>
    <mergeCell ref="E789:F789"/>
    <mergeCell ref="G791:H791"/>
    <mergeCell ref="E723:F723"/>
    <mergeCell ref="G774:H774"/>
    <mergeCell ref="E769:F769"/>
    <mergeCell ref="E727:F727"/>
    <mergeCell ref="G789:H789"/>
    <mergeCell ref="A776:K776"/>
    <mergeCell ref="A780:H780"/>
    <mergeCell ref="G708:H708"/>
    <mergeCell ref="C709:D709"/>
    <mergeCell ref="C745:D745"/>
    <mergeCell ref="A807:H807"/>
    <mergeCell ref="C788:D788"/>
    <mergeCell ref="E788:F788"/>
    <mergeCell ref="G788:H788"/>
    <mergeCell ref="C787:D787"/>
    <mergeCell ref="A785:H785"/>
    <mergeCell ref="E787:F787"/>
    <mergeCell ref="C744:D744"/>
    <mergeCell ref="C731:D731"/>
    <mergeCell ref="G727:H727"/>
    <mergeCell ref="G720:H720"/>
    <mergeCell ref="C736:D736"/>
    <mergeCell ref="C733:D733"/>
    <mergeCell ref="C732:D732"/>
    <mergeCell ref="C738:D738"/>
    <mergeCell ref="C790:D790"/>
    <mergeCell ref="E790:F790"/>
    <mergeCell ref="G790:H790"/>
    <mergeCell ref="C791:D791"/>
    <mergeCell ref="E791:F791"/>
    <mergeCell ref="C795:D795"/>
    <mergeCell ref="E795:F795"/>
    <mergeCell ref="G795:H795"/>
    <mergeCell ref="G793:H793"/>
    <mergeCell ref="G794:H794"/>
    <mergeCell ref="G813:H813"/>
    <mergeCell ref="C810:D810"/>
    <mergeCell ref="A781:H781"/>
    <mergeCell ref="E810:F810"/>
    <mergeCell ref="E805:F805"/>
    <mergeCell ref="G769:H769"/>
    <mergeCell ref="C774:D774"/>
    <mergeCell ref="E774:F774"/>
    <mergeCell ref="C770:D770"/>
    <mergeCell ref="E770:F770"/>
    <mergeCell ref="C769:D769"/>
    <mergeCell ref="C773:D773"/>
    <mergeCell ref="E773:F773"/>
    <mergeCell ref="C771:D771"/>
    <mergeCell ref="G772:H772"/>
    <mergeCell ref="C803:D803"/>
    <mergeCell ref="E803:F803"/>
    <mergeCell ref="G803:H803"/>
    <mergeCell ref="C800:D800"/>
    <mergeCell ref="C772:D772"/>
    <mergeCell ref="C819:D819"/>
    <mergeCell ref="A815:H815"/>
    <mergeCell ref="G810:H810"/>
    <mergeCell ref="C811:D811"/>
    <mergeCell ref="E811:F811"/>
    <mergeCell ref="G811:H811"/>
    <mergeCell ref="C812:D812"/>
    <mergeCell ref="C817:D817"/>
    <mergeCell ref="E817:F817"/>
    <mergeCell ref="G817:H817"/>
    <mergeCell ref="C823:D823"/>
    <mergeCell ref="E936:F936"/>
    <mergeCell ref="G937:H937"/>
    <mergeCell ref="E819:F819"/>
    <mergeCell ref="G819:H819"/>
    <mergeCell ref="G839:H839"/>
    <mergeCell ref="G820:H820"/>
    <mergeCell ref="C821:D821"/>
    <mergeCell ref="C839:D839"/>
    <mergeCell ref="A827:H827"/>
    <mergeCell ref="C918:D918"/>
    <mergeCell ref="G913:H913"/>
    <mergeCell ref="C917:D917"/>
    <mergeCell ref="C805:D805"/>
    <mergeCell ref="A836:D836"/>
    <mergeCell ref="G890:H890"/>
    <mergeCell ref="C896:D896"/>
    <mergeCell ref="G896:H896"/>
    <mergeCell ref="G895:H895"/>
    <mergeCell ref="E890:F890"/>
    <mergeCell ref="A891:L891"/>
    <mergeCell ref="C835:D835"/>
    <mergeCell ref="E835:F835"/>
    <mergeCell ref="G835:H835"/>
    <mergeCell ref="C832:D832"/>
    <mergeCell ref="E832:F832"/>
    <mergeCell ref="G832:H832"/>
    <mergeCell ref="C833:D833"/>
    <mergeCell ref="E833:F833"/>
    <mergeCell ref="G833:H833"/>
    <mergeCell ref="C831:D831"/>
    <mergeCell ref="E831:F831"/>
    <mergeCell ref="G831:H831"/>
    <mergeCell ref="C825:D825"/>
    <mergeCell ref="E825:F825"/>
    <mergeCell ref="G825:H825"/>
    <mergeCell ref="C830:D830"/>
    <mergeCell ref="C818:D818"/>
    <mergeCell ref="E818:F818"/>
    <mergeCell ref="G818:H818"/>
    <mergeCell ref="C802:D802"/>
    <mergeCell ref="E802:F802"/>
    <mergeCell ref="G802:H802"/>
    <mergeCell ref="C813:D813"/>
    <mergeCell ref="E813:F813"/>
    <mergeCell ref="C809:D809"/>
    <mergeCell ref="E809:F809"/>
    <mergeCell ref="G809:H809"/>
    <mergeCell ref="E812:F812"/>
    <mergeCell ref="G812:H812"/>
    <mergeCell ref="E824:F824"/>
    <mergeCell ref="G773:H773"/>
    <mergeCell ref="E771:F771"/>
    <mergeCell ref="E820:F820"/>
    <mergeCell ref="E800:F800"/>
    <mergeCell ref="G800:H800"/>
    <mergeCell ref="G771:H771"/>
    <mergeCell ref="C761:D761"/>
    <mergeCell ref="C726:D726"/>
    <mergeCell ref="C824:D824"/>
    <mergeCell ref="C746:D746"/>
    <mergeCell ref="C747:D747"/>
    <mergeCell ref="C820:D820"/>
    <mergeCell ref="A796:H796"/>
    <mergeCell ref="C799:D799"/>
    <mergeCell ref="E799:F799"/>
    <mergeCell ref="G799:H799"/>
    <mergeCell ref="A659:H659"/>
    <mergeCell ref="A666:A667"/>
    <mergeCell ref="E720:F720"/>
    <mergeCell ref="C748:D748"/>
    <mergeCell ref="C742:D742"/>
    <mergeCell ref="C719:D719"/>
    <mergeCell ref="G706:H706"/>
    <mergeCell ref="G711:H711"/>
    <mergeCell ref="C717:D717"/>
    <mergeCell ref="E722:F722"/>
    <mergeCell ref="G639:H639"/>
    <mergeCell ref="C635:D635"/>
    <mergeCell ref="G635:H635"/>
    <mergeCell ref="G693:H693"/>
    <mergeCell ref="C704:D704"/>
    <mergeCell ref="G767:H767"/>
    <mergeCell ref="C762:D762"/>
    <mergeCell ref="G651:H651"/>
    <mergeCell ref="G640:H640"/>
    <mergeCell ref="E651:F651"/>
    <mergeCell ref="G838:H838"/>
    <mergeCell ref="E841:F841"/>
    <mergeCell ref="C893:D893"/>
    <mergeCell ref="C849:D849"/>
    <mergeCell ref="E849:F849"/>
    <mergeCell ref="G849:H849"/>
    <mergeCell ref="C850:D850"/>
    <mergeCell ref="E850:F850"/>
    <mergeCell ref="C882:D882"/>
    <mergeCell ref="E857:F857"/>
    <mergeCell ref="G854:H854"/>
    <mergeCell ref="C838:D838"/>
    <mergeCell ref="G885:H885"/>
    <mergeCell ref="G853:H853"/>
    <mergeCell ref="C857:D857"/>
    <mergeCell ref="E866:F866"/>
    <mergeCell ref="E854:F854"/>
    <mergeCell ref="E842:F842"/>
    <mergeCell ref="G844:H844"/>
    <mergeCell ref="G843:H843"/>
    <mergeCell ref="G883:H883"/>
    <mergeCell ref="G851:H851"/>
    <mergeCell ref="E843:F843"/>
    <mergeCell ref="C855:D855"/>
    <mergeCell ref="C875:D875"/>
    <mergeCell ref="E875:F875"/>
    <mergeCell ref="G875:H875"/>
    <mergeCell ref="C852:D852"/>
    <mergeCell ref="E852:F852"/>
    <mergeCell ref="G852:H852"/>
    <mergeCell ref="C868:D868"/>
    <mergeCell ref="C847:D847"/>
    <mergeCell ref="E847:F847"/>
    <mergeCell ref="G847:H847"/>
    <mergeCell ref="C848:D848"/>
    <mergeCell ref="E848:F848"/>
    <mergeCell ref="G848:H848"/>
    <mergeCell ref="E855:F855"/>
    <mergeCell ref="G863:H863"/>
    <mergeCell ref="E851:F851"/>
    <mergeCell ref="G841:H841"/>
    <mergeCell ref="E883:F883"/>
    <mergeCell ref="C925:D925"/>
    <mergeCell ref="C926:D926"/>
    <mergeCell ref="G916:H916"/>
    <mergeCell ref="C940:D940"/>
    <mergeCell ref="C938:D938"/>
    <mergeCell ref="E938:F938"/>
    <mergeCell ref="E940:F940"/>
    <mergeCell ref="G927:H927"/>
    <mergeCell ref="G909:H909"/>
    <mergeCell ref="C911:D911"/>
    <mergeCell ref="E911:F911"/>
    <mergeCell ref="G911:H911"/>
    <mergeCell ref="C910:D910"/>
    <mergeCell ref="E909:F909"/>
    <mergeCell ref="C909:D909"/>
    <mergeCell ref="G842:H842"/>
    <mergeCell ref="E910:F910"/>
    <mergeCell ref="G910:H910"/>
    <mergeCell ref="E893:F893"/>
    <mergeCell ref="I1048:J1048"/>
    <mergeCell ref="E1047:F1047"/>
    <mergeCell ref="E1038:F1038"/>
    <mergeCell ref="E1040:F1040"/>
    <mergeCell ref="E1013:F1013"/>
    <mergeCell ref="E1010:F1010"/>
    <mergeCell ref="C912:D912"/>
    <mergeCell ref="E912:F912"/>
    <mergeCell ref="G912:H912"/>
    <mergeCell ref="G938:H938"/>
    <mergeCell ref="C928:D928"/>
    <mergeCell ref="E928:F928"/>
    <mergeCell ref="E935:F935"/>
    <mergeCell ref="G926:H926"/>
    <mergeCell ref="E916:F916"/>
    <mergeCell ref="E913:F913"/>
    <mergeCell ref="C950:D950"/>
    <mergeCell ref="C1024:D1024"/>
    <mergeCell ref="E1036:F1036"/>
    <mergeCell ref="E1025:F1025"/>
    <mergeCell ref="G987:H987"/>
    <mergeCell ref="E988:F988"/>
    <mergeCell ref="C985:D985"/>
    <mergeCell ref="C1006:D1006"/>
    <mergeCell ref="G986:H986"/>
    <mergeCell ref="G1036:H1036"/>
    <mergeCell ref="G945:H945"/>
    <mergeCell ref="E974:F974"/>
    <mergeCell ref="C978:D978"/>
    <mergeCell ref="C977:D977"/>
    <mergeCell ref="E961:F961"/>
    <mergeCell ref="C960:D960"/>
    <mergeCell ref="A962:L962"/>
    <mergeCell ref="C969:D969"/>
    <mergeCell ref="C949:D949"/>
    <mergeCell ref="E945:F945"/>
    <mergeCell ref="G1048:H1048"/>
    <mergeCell ref="G1013:H1013"/>
    <mergeCell ref="E1030:F1030"/>
    <mergeCell ref="E1027:F1027"/>
    <mergeCell ref="G1025:H1025"/>
    <mergeCell ref="G1034:H1034"/>
    <mergeCell ref="E1041:F1041"/>
    <mergeCell ref="E1035:F1035"/>
    <mergeCell ref="E1048:F1048"/>
    <mergeCell ref="G1026:H1026"/>
    <mergeCell ref="G1027:H1027"/>
    <mergeCell ref="G1037:H1037"/>
    <mergeCell ref="E1007:F1007"/>
    <mergeCell ref="G1011:H1011"/>
    <mergeCell ref="G1042:H1042"/>
    <mergeCell ref="G1120:H1120"/>
    <mergeCell ref="E1119:F1119"/>
    <mergeCell ref="G1111:H1111"/>
    <mergeCell ref="G1098:H1098"/>
    <mergeCell ref="G1100:H1100"/>
    <mergeCell ref="C996:D996"/>
    <mergeCell ref="E994:F994"/>
    <mergeCell ref="G988:H988"/>
    <mergeCell ref="C981:D981"/>
    <mergeCell ref="C1115:D1115"/>
    <mergeCell ref="E1115:F1115"/>
    <mergeCell ref="G1014:H1014"/>
    <mergeCell ref="G1024:H1024"/>
    <mergeCell ref="C1025:D1025"/>
    <mergeCell ref="C1027:D1027"/>
    <mergeCell ref="G928:H928"/>
    <mergeCell ref="C1117:D1117"/>
    <mergeCell ref="C1116:D1116"/>
    <mergeCell ref="E1127:F1127"/>
    <mergeCell ref="G1115:H1115"/>
    <mergeCell ref="C1120:D1120"/>
    <mergeCell ref="C1119:D1119"/>
    <mergeCell ref="C1125:D1125"/>
    <mergeCell ref="E1125:F1125"/>
    <mergeCell ref="G1119:H1119"/>
    <mergeCell ref="G858:H858"/>
    <mergeCell ref="C989:D989"/>
    <mergeCell ref="G940:H940"/>
    <mergeCell ref="G961:H961"/>
    <mergeCell ref="C966:D966"/>
    <mergeCell ref="E966:F966"/>
    <mergeCell ref="C967:D967"/>
    <mergeCell ref="E967:F967"/>
    <mergeCell ref="C927:D927"/>
    <mergeCell ref="E977:F977"/>
    <mergeCell ref="C1158:D1158"/>
    <mergeCell ref="G1157:H1157"/>
    <mergeCell ref="E1152:F1152"/>
    <mergeCell ref="G1154:H1154"/>
    <mergeCell ref="E1153:F1153"/>
    <mergeCell ref="C935:D935"/>
    <mergeCell ref="C957:D957"/>
    <mergeCell ref="C973:D973"/>
    <mergeCell ref="E980:F980"/>
    <mergeCell ref="C936:D936"/>
    <mergeCell ref="C1129:D1129"/>
    <mergeCell ref="E858:F858"/>
    <mergeCell ref="E1151:F1151"/>
    <mergeCell ref="G1151:H1151"/>
    <mergeCell ref="E1154:F1154"/>
    <mergeCell ref="G1153:H1153"/>
    <mergeCell ref="E978:F978"/>
    <mergeCell ref="A975:J975"/>
    <mergeCell ref="G980:H980"/>
    <mergeCell ref="E971:F971"/>
    <mergeCell ref="C1137:D1137"/>
    <mergeCell ref="E1133:F1133"/>
    <mergeCell ref="G1134:H1134"/>
    <mergeCell ref="G1131:H1131"/>
    <mergeCell ref="C1134:D1134"/>
    <mergeCell ref="G1127:H1127"/>
    <mergeCell ref="G1133:H1133"/>
    <mergeCell ref="C1131:D1131"/>
    <mergeCell ref="C1130:D1130"/>
    <mergeCell ref="G1128:H1128"/>
    <mergeCell ref="E1129:F1129"/>
    <mergeCell ref="G1138:H1138"/>
    <mergeCell ref="G1141:H1141"/>
    <mergeCell ref="E1135:F1135"/>
    <mergeCell ref="G1136:H1136"/>
    <mergeCell ref="G1135:H1135"/>
    <mergeCell ref="G1137:H1137"/>
    <mergeCell ref="E1130:F1130"/>
    <mergeCell ref="E1138:F1138"/>
    <mergeCell ref="E1134:F1134"/>
    <mergeCell ref="C952:D952"/>
    <mergeCell ref="C947:D947"/>
    <mergeCell ref="E947:F947"/>
    <mergeCell ref="C1128:D1128"/>
    <mergeCell ref="E1128:F1128"/>
    <mergeCell ref="C1014:D1014"/>
    <mergeCell ref="C1047:D1047"/>
    <mergeCell ref="C1010:D1010"/>
    <mergeCell ref="E986:F986"/>
    <mergeCell ref="C951:D951"/>
    <mergeCell ref="C1133:D1133"/>
    <mergeCell ref="E1098:F1098"/>
    <mergeCell ref="C1098:D1098"/>
    <mergeCell ref="A1105:H1105"/>
    <mergeCell ref="G1104:H1104"/>
    <mergeCell ref="E1006:F1006"/>
    <mergeCell ref="G1008:H1008"/>
    <mergeCell ref="G1129:H1129"/>
    <mergeCell ref="G1035:H1035"/>
    <mergeCell ref="C1034:D1034"/>
    <mergeCell ref="C834:D834"/>
    <mergeCell ref="C763:D763"/>
    <mergeCell ref="C760:D760"/>
    <mergeCell ref="C721:D721"/>
    <mergeCell ref="C722:D722"/>
    <mergeCell ref="G768:H768"/>
    <mergeCell ref="G834:H834"/>
    <mergeCell ref="C767:D767"/>
    <mergeCell ref="E821:F821"/>
    <mergeCell ref="C765:D765"/>
    <mergeCell ref="E692:F692"/>
    <mergeCell ref="E762:F762"/>
    <mergeCell ref="C759:D759"/>
    <mergeCell ref="A701:H701"/>
    <mergeCell ref="G718:H718"/>
    <mergeCell ref="C710:D710"/>
    <mergeCell ref="C724:D724"/>
    <mergeCell ref="G692:H692"/>
    <mergeCell ref="G705:H705"/>
    <mergeCell ref="E726:F726"/>
    <mergeCell ref="E666:F666"/>
    <mergeCell ref="C705:D705"/>
    <mergeCell ref="C706:D706"/>
    <mergeCell ref="E706:F706"/>
    <mergeCell ref="C764:D764"/>
    <mergeCell ref="E724:F724"/>
    <mergeCell ref="E718:F718"/>
    <mergeCell ref="C718:D718"/>
    <mergeCell ref="E705:F705"/>
    <mergeCell ref="C692:D692"/>
    <mergeCell ref="E693:F693"/>
    <mergeCell ref="A702:H702"/>
    <mergeCell ref="G805:H805"/>
    <mergeCell ref="C804:D804"/>
    <mergeCell ref="E804:F804"/>
    <mergeCell ref="G804:H804"/>
    <mergeCell ref="G762:H762"/>
    <mergeCell ref="E772:F772"/>
    <mergeCell ref="E764:F764"/>
    <mergeCell ref="C750:D750"/>
    <mergeCell ref="C377:D377"/>
    <mergeCell ref="C354:D354"/>
    <mergeCell ref="C376:D376"/>
    <mergeCell ref="E372:F372"/>
    <mergeCell ref="G375:H375"/>
    <mergeCell ref="C374:D374"/>
    <mergeCell ref="G372:H372"/>
    <mergeCell ref="C373:D373"/>
    <mergeCell ref="E374:F374"/>
    <mergeCell ref="C372:D372"/>
    <mergeCell ref="C287:D287"/>
    <mergeCell ref="E287:F287"/>
    <mergeCell ref="C288:D288"/>
    <mergeCell ref="E314:F314"/>
    <mergeCell ref="G314:H314"/>
    <mergeCell ref="C370:D370"/>
    <mergeCell ref="E370:F370"/>
    <mergeCell ref="C363:D363"/>
    <mergeCell ref="E363:F363"/>
    <mergeCell ref="G363:H363"/>
    <mergeCell ref="G374:H374"/>
    <mergeCell ref="C368:D368"/>
    <mergeCell ref="E368:F368"/>
    <mergeCell ref="E367:F367"/>
    <mergeCell ref="G367:H367"/>
    <mergeCell ref="G311:H311"/>
    <mergeCell ref="G369:H369"/>
    <mergeCell ref="C364:D364"/>
    <mergeCell ref="E373:F373"/>
    <mergeCell ref="G373:H373"/>
    <mergeCell ref="G285:H285"/>
    <mergeCell ref="G287:H287"/>
    <mergeCell ref="I365:J365"/>
    <mergeCell ref="G305:H305"/>
    <mergeCell ref="G313:H313"/>
    <mergeCell ref="E354:F354"/>
    <mergeCell ref="G354:H354"/>
    <mergeCell ref="I363:J363"/>
    <mergeCell ref="E305:F305"/>
    <mergeCell ref="E359:F359"/>
    <mergeCell ref="C375:D375"/>
    <mergeCell ref="E375:F375"/>
    <mergeCell ref="A371:H371"/>
    <mergeCell ref="G309:H309"/>
    <mergeCell ref="I370:J370"/>
    <mergeCell ref="I368:J368"/>
    <mergeCell ref="G370:H370"/>
    <mergeCell ref="C365:D365"/>
    <mergeCell ref="E365:F365"/>
    <mergeCell ref="G365:H365"/>
    <mergeCell ref="I369:J369"/>
    <mergeCell ref="C366:D366"/>
    <mergeCell ref="E366:F366"/>
    <mergeCell ref="G366:H366"/>
    <mergeCell ref="I366:J366"/>
    <mergeCell ref="G368:H368"/>
    <mergeCell ref="C369:D369"/>
    <mergeCell ref="E369:F369"/>
    <mergeCell ref="C367:D367"/>
    <mergeCell ref="G259:H259"/>
    <mergeCell ref="E364:F364"/>
    <mergeCell ref="G364:H364"/>
    <mergeCell ref="I364:J364"/>
    <mergeCell ref="A360:H360"/>
    <mergeCell ref="E356:F356"/>
    <mergeCell ref="C285:D285"/>
    <mergeCell ref="G356:H356"/>
    <mergeCell ref="E317:F317"/>
    <mergeCell ref="C305:D305"/>
    <mergeCell ref="E377:F377"/>
    <mergeCell ref="C264:D264"/>
    <mergeCell ref="E378:F378"/>
    <mergeCell ref="C274:D274"/>
    <mergeCell ref="G273:H273"/>
    <mergeCell ref="C381:D381"/>
    <mergeCell ref="E312:F312"/>
    <mergeCell ref="G312:H312"/>
    <mergeCell ref="C312:D312"/>
    <mergeCell ref="C317:D317"/>
    <mergeCell ref="C388:D388"/>
    <mergeCell ref="C386:D386"/>
    <mergeCell ref="E386:F386"/>
    <mergeCell ref="E264:F264"/>
    <mergeCell ref="E259:F259"/>
    <mergeCell ref="G381:H381"/>
    <mergeCell ref="E383:F383"/>
    <mergeCell ref="C310:D310"/>
    <mergeCell ref="E310:F310"/>
    <mergeCell ref="G310:H310"/>
    <mergeCell ref="G377:H377"/>
    <mergeCell ref="G266:H266"/>
    <mergeCell ref="C259:D259"/>
    <mergeCell ref="A1630:H1630"/>
    <mergeCell ref="A1623:B1623"/>
    <mergeCell ref="G1603:H1603"/>
    <mergeCell ref="E1204:F1204"/>
    <mergeCell ref="C1231:D1231"/>
    <mergeCell ref="E1606:F1606"/>
    <mergeCell ref="C1149:D1149"/>
    <mergeCell ref="A1635:J1635"/>
    <mergeCell ref="A1273:A1274"/>
    <mergeCell ref="G1273:H1273"/>
    <mergeCell ref="G1285:H1285"/>
    <mergeCell ref="E1295:F1295"/>
    <mergeCell ref="C1285:D1285"/>
    <mergeCell ref="E1285:F1285"/>
    <mergeCell ref="E1322:F1322"/>
    <mergeCell ref="A1629:H1629"/>
    <mergeCell ref="C1610:D1610"/>
    <mergeCell ref="A1634:J1634"/>
    <mergeCell ref="A1632:J1632"/>
    <mergeCell ref="C1397:D1397"/>
    <mergeCell ref="A1390:A1391"/>
    <mergeCell ref="C1608:D1608"/>
    <mergeCell ref="G1204:H1204"/>
    <mergeCell ref="C1204:D1204"/>
    <mergeCell ref="E1610:F1610"/>
    <mergeCell ref="A1285:A1286"/>
    <mergeCell ref="A1231:A1232"/>
    <mergeCell ref="I1557:J1557"/>
    <mergeCell ref="A1567:A1570"/>
    <mergeCell ref="B1567:B1570"/>
    <mergeCell ref="C1567:D1567"/>
    <mergeCell ref="E1567:F1567"/>
    <mergeCell ref="G1567:H1567"/>
    <mergeCell ref="C1569:D1569"/>
    <mergeCell ref="A1557:A1558"/>
    <mergeCell ref="I1567:J1567"/>
    <mergeCell ref="P1179:Q1179"/>
    <mergeCell ref="C1205:D1205"/>
    <mergeCell ref="E1205:F1205"/>
    <mergeCell ref="G1205:H1205"/>
    <mergeCell ref="C1189:D1189"/>
    <mergeCell ref="C1202:D1202"/>
    <mergeCell ref="C1193:D1193"/>
    <mergeCell ref="G1202:H1202"/>
    <mergeCell ref="C1201:D1201"/>
    <mergeCell ref="C1203:D1203"/>
    <mergeCell ref="E1141:F1141"/>
    <mergeCell ref="G1142:H1142"/>
    <mergeCell ref="C1143:D1143"/>
    <mergeCell ref="G1148:H1148"/>
    <mergeCell ref="G1149:H1149"/>
    <mergeCell ref="C1141:D1141"/>
    <mergeCell ref="E1147:F1147"/>
    <mergeCell ref="G1144:H1144"/>
    <mergeCell ref="E1143:F1143"/>
    <mergeCell ref="E1148:F1148"/>
    <mergeCell ref="E1149:F1149"/>
    <mergeCell ref="E1145:F1145"/>
    <mergeCell ref="G1610:H1610"/>
    <mergeCell ref="G1150:H1150"/>
    <mergeCell ref="E1150:F1150"/>
    <mergeCell ref="E1190:F1190"/>
    <mergeCell ref="E1199:F1199"/>
    <mergeCell ref="A1167:J1167"/>
    <mergeCell ref="E1187:F1187"/>
    <mergeCell ref="C1160:D1160"/>
    <mergeCell ref="G1609:H1609"/>
    <mergeCell ref="E1160:F1160"/>
    <mergeCell ref="C1157:D1157"/>
    <mergeCell ref="E1157:F1157"/>
    <mergeCell ref="G1186:H1186"/>
    <mergeCell ref="C1603:D1603"/>
    <mergeCell ref="C1245:D1245"/>
    <mergeCell ref="G1193:H1193"/>
    <mergeCell ref="E1159:F1159"/>
    <mergeCell ref="E1158:F1158"/>
    <mergeCell ref="E1231:F1231"/>
    <mergeCell ref="G1231:H1231"/>
    <mergeCell ref="G1143:H1143"/>
    <mergeCell ref="E1114:F1114"/>
    <mergeCell ref="C1126:D1126"/>
    <mergeCell ref="E1116:F1116"/>
    <mergeCell ref="E1163:F1163"/>
    <mergeCell ref="C1142:D1142"/>
    <mergeCell ref="E1137:F1137"/>
    <mergeCell ref="G1158:H1158"/>
    <mergeCell ref="G1596:H1596"/>
    <mergeCell ref="A1228:J1228"/>
    <mergeCell ref="A1213:A1214"/>
    <mergeCell ref="A1211:H1211"/>
    <mergeCell ref="I1540:J1540"/>
    <mergeCell ref="C1390:D1390"/>
    <mergeCell ref="A1245:A1246"/>
    <mergeCell ref="G1428:H1428"/>
    <mergeCell ref="G1587:H1587"/>
    <mergeCell ref="A1584:H1584"/>
    <mergeCell ref="E853:F853"/>
    <mergeCell ref="G856:H856"/>
    <mergeCell ref="E830:F830"/>
    <mergeCell ref="G979:H979"/>
    <mergeCell ref="C843:D843"/>
    <mergeCell ref="G850:H850"/>
    <mergeCell ref="G970:H970"/>
    <mergeCell ref="E894:F894"/>
    <mergeCell ref="G893:H893"/>
    <mergeCell ref="C894:D894"/>
    <mergeCell ref="E1011:F1011"/>
    <mergeCell ref="C1136:D1136"/>
    <mergeCell ref="E1136:F1136"/>
    <mergeCell ref="A1022:H1022"/>
    <mergeCell ref="E1039:F1039"/>
    <mergeCell ref="C1037:D1037"/>
    <mergeCell ref="G1117:H1117"/>
    <mergeCell ref="G1130:H1130"/>
    <mergeCell ref="G1030:H1030"/>
    <mergeCell ref="A1033:H1033"/>
    <mergeCell ref="C879:D879"/>
    <mergeCell ref="E879:F879"/>
    <mergeCell ref="G879:H879"/>
    <mergeCell ref="E951:F951"/>
    <mergeCell ref="E1126:F1126"/>
    <mergeCell ref="C968:D968"/>
    <mergeCell ref="G978:H978"/>
    <mergeCell ref="E1034:F1034"/>
    <mergeCell ref="E1026:F1026"/>
    <mergeCell ref="C1028:D1028"/>
    <mergeCell ref="C446:D446"/>
    <mergeCell ref="E443:F443"/>
    <mergeCell ref="G443:H443"/>
    <mergeCell ref="C727:D727"/>
    <mergeCell ref="C650:D650"/>
    <mergeCell ref="C502:D502"/>
    <mergeCell ref="C666:D666"/>
    <mergeCell ref="E704:F704"/>
    <mergeCell ref="G704:H704"/>
    <mergeCell ref="C693:D693"/>
    <mergeCell ref="E391:F391"/>
    <mergeCell ref="E834:F834"/>
    <mergeCell ref="C895:D895"/>
    <mergeCell ref="C392:D392"/>
    <mergeCell ref="C396:D396"/>
    <mergeCell ref="E393:F393"/>
    <mergeCell ref="C829:D829"/>
    <mergeCell ref="C888:D888"/>
    <mergeCell ref="E862:F862"/>
    <mergeCell ref="C861:D861"/>
    <mergeCell ref="E385:F385"/>
    <mergeCell ref="G383:H383"/>
    <mergeCell ref="E888:F888"/>
    <mergeCell ref="G915:H915"/>
    <mergeCell ref="E926:F926"/>
    <mergeCell ref="E941:F941"/>
    <mergeCell ref="G941:H941"/>
    <mergeCell ref="G386:H386"/>
    <mergeCell ref="E829:F829"/>
    <mergeCell ref="G829:H829"/>
    <mergeCell ref="G378:H378"/>
    <mergeCell ref="G487:H487"/>
    <mergeCell ref="G431:H431"/>
    <mergeCell ref="C432:D432"/>
    <mergeCell ref="E432:F432"/>
    <mergeCell ref="G432:H432"/>
    <mergeCell ref="C433:D433"/>
    <mergeCell ref="E433:F433"/>
    <mergeCell ref="G388:H388"/>
    <mergeCell ref="C385:D385"/>
    <mergeCell ref="G511:H511"/>
    <mergeCell ref="G821:H821"/>
    <mergeCell ref="C822:D822"/>
    <mergeCell ref="E822:F822"/>
    <mergeCell ref="E840:F840"/>
    <mergeCell ref="G840:H840"/>
    <mergeCell ref="C801:D801"/>
    <mergeCell ref="E801:F801"/>
    <mergeCell ref="G822:H822"/>
    <mergeCell ref="A779:H779"/>
    <mergeCell ref="C378:D378"/>
    <mergeCell ref="G642:H642"/>
    <mergeCell ref="E768:F768"/>
    <mergeCell ref="C789:D789"/>
    <mergeCell ref="G770:H770"/>
    <mergeCell ref="E527:F527"/>
    <mergeCell ref="E510:F510"/>
    <mergeCell ref="G523:H523"/>
    <mergeCell ref="C641:D641"/>
    <mergeCell ref="G510:H510"/>
    <mergeCell ref="E1004:F1004"/>
    <mergeCell ref="E1008:F1008"/>
    <mergeCell ref="G1028:H1028"/>
    <mergeCell ref="C1029:D1029"/>
    <mergeCell ref="E1029:F1029"/>
    <mergeCell ref="C1026:D1026"/>
    <mergeCell ref="C1011:D1011"/>
    <mergeCell ref="G1029:H1029"/>
    <mergeCell ref="G1006:H1006"/>
    <mergeCell ref="C1004:D1004"/>
    <mergeCell ref="C979:D979"/>
    <mergeCell ref="C980:D980"/>
    <mergeCell ref="E979:F979"/>
    <mergeCell ref="E1014:F1014"/>
    <mergeCell ref="A990:L990"/>
    <mergeCell ref="E1002:F1002"/>
    <mergeCell ref="E997:F997"/>
    <mergeCell ref="C1003:D1003"/>
    <mergeCell ref="G981:H981"/>
    <mergeCell ref="E996:F996"/>
    <mergeCell ref="G996:H996"/>
    <mergeCell ref="G997:H997"/>
    <mergeCell ref="E981:F981"/>
    <mergeCell ref="G994:H994"/>
    <mergeCell ref="E985:F985"/>
    <mergeCell ref="G1004:H1004"/>
    <mergeCell ref="E995:F995"/>
    <mergeCell ref="G985:H985"/>
    <mergeCell ref="E1001:F1001"/>
    <mergeCell ref="E993:F993"/>
    <mergeCell ref="E960:F960"/>
    <mergeCell ref="G960:H960"/>
    <mergeCell ref="E649:F649"/>
    <mergeCell ref="G974:H974"/>
    <mergeCell ref="G946:H946"/>
    <mergeCell ref="G967:H967"/>
    <mergeCell ref="E969:F969"/>
    <mergeCell ref="G947:H947"/>
    <mergeCell ref="E946:F946"/>
    <mergeCell ref="G874:H874"/>
    <mergeCell ref="A902:K902"/>
    <mergeCell ref="A903:K903"/>
    <mergeCell ref="A904:K904"/>
    <mergeCell ref="A905:K905"/>
    <mergeCell ref="C915:D915"/>
    <mergeCell ref="G855:H855"/>
    <mergeCell ref="C873:D873"/>
    <mergeCell ref="E873:F873"/>
    <mergeCell ref="G873:H873"/>
    <mergeCell ref="C874:D874"/>
    <mergeCell ref="C883:D883"/>
    <mergeCell ref="E895:F895"/>
    <mergeCell ref="G649:H649"/>
    <mergeCell ref="G650:H650"/>
    <mergeCell ref="E719:F719"/>
    <mergeCell ref="G719:H719"/>
    <mergeCell ref="C886:D886"/>
    <mergeCell ref="C890:D890"/>
    <mergeCell ref="G894:H894"/>
    <mergeCell ref="E874:F874"/>
    <mergeCell ref="A1017:J1017"/>
    <mergeCell ref="A1018:J1018"/>
    <mergeCell ref="A1019:J1019"/>
    <mergeCell ref="C1048:D1048"/>
    <mergeCell ref="G888:H888"/>
    <mergeCell ref="C889:D889"/>
    <mergeCell ref="G952:H952"/>
    <mergeCell ref="C959:D959"/>
    <mergeCell ref="G958:H958"/>
    <mergeCell ref="G953:H953"/>
    <mergeCell ref="I1051:J1051"/>
    <mergeCell ref="C1052:D1052"/>
    <mergeCell ref="E1052:F1052"/>
    <mergeCell ref="G1052:H1052"/>
    <mergeCell ref="E915:F915"/>
    <mergeCell ref="I1049:J1049"/>
    <mergeCell ref="C1050:D1050"/>
    <mergeCell ref="E1050:F1050"/>
    <mergeCell ref="G1050:H1050"/>
    <mergeCell ref="C1007:D1007"/>
    <mergeCell ref="E639:F639"/>
    <mergeCell ref="C640:D640"/>
    <mergeCell ref="E531:F531"/>
    <mergeCell ref="E640:F640"/>
    <mergeCell ref="G530:H530"/>
    <mergeCell ref="G531:H531"/>
    <mergeCell ref="C633:D633"/>
    <mergeCell ref="E633:F633"/>
    <mergeCell ref="G633:H633"/>
    <mergeCell ref="E637:F637"/>
    <mergeCell ref="C1104:D1104"/>
    <mergeCell ref="G1113:H1113"/>
    <mergeCell ref="C1111:D1111"/>
    <mergeCell ref="C1063:D1063"/>
    <mergeCell ref="E1104:F1104"/>
    <mergeCell ref="C1113:D1113"/>
    <mergeCell ref="E1113:F1113"/>
    <mergeCell ref="C1112:D1112"/>
    <mergeCell ref="E1112:F1112"/>
    <mergeCell ref="G1112:H1112"/>
    <mergeCell ref="E1100:F1100"/>
    <mergeCell ref="E1111:F1111"/>
    <mergeCell ref="E1103:F1103"/>
    <mergeCell ref="G1103:H1103"/>
    <mergeCell ref="G1095:H1095"/>
    <mergeCell ref="C1099:D1099"/>
    <mergeCell ref="G1096:H1096"/>
    <mergeCell ref="C1096:D1096"/>
    <mergeCell ref="C1095:D1095"/>
    <mergeCell ref="G1097:H1097"/>
    <mergeCell ref="E1073:F1073"/>
    <mergeCell ref="E1072:F1072"/>
    <mergeCell ref="I1058:J1058"/>
    <mergeCell ref="I1060:J1060"/>
    <mergeCell ref="E1061:F1061"/>
    <mergeCell ref="C1072:D1072"/>
    <mergeCell ref="C1073:D1073"/>
    <mergeCell ref="E1067:F1067"/>
    <mergeCell ref="C1071:D1071"/>
    <mergeCell ref="E1069:F1069"/>
    <mergeCell ref="I1061:J1061"/>
    <mergeCell ref="E1060:F1060"/>
    <mergeCell ref="G1060:H1060"/>
    <mergeCell ref="E1117:F1117"/>
    <mergeCell ref="G1116:H1116"/>
    <mergeCell ref="E1096:F1096"/>
    <mergeCell ref="G1068:H1068"/>
    <mergeCell ref="G1073:H1073"/>
    <mergeCell ref="G1071:H1071"/>
    <mergeCell ref="E1095:F1095"/>
    <mergeCell ref="A1086:L1086"/>
    <mergeCell ref="C1101:D1101"/>
    <mergeCell ref="A1088:J1088"/>
    <mergeCell ref="C1100:D1100"/>
    <mergeCell ref="C1097:D1097"/>
    <mergeCell ref="A1109:H1109"/>
    <mergeCell ref="E1097:F1097"/>
    <mergeCell ref="E1099:F1099"/>
    <mergeCell ref="G1099:H1099"/>
    <mergeCell ref="E1101:F1101"/>
    <mergeCell ref="E1077:F1077"/>
    <mergeCell ref="G1078:H1078"/>
    <mergeCell ref="C1079:D1079"/>
    <mergeCell ref="G1114:H1114"/>
    <mergeCell ref="A1094:H1094"/>
    <mergeCell ref="A1074:L1074"/>
    <mergeCell ref="A1093:H1093"/>
    <mergeCell ref="E1102:F1102"/>
    <mergeCell ref="G1102:H1102"/>
    <mergeCell ref="C1084:D1084"/>
    <mergeCell ref="C1082:D1082"/>
    <mergeCell ref="E1082:F1082"/>
    <mergeCell ref="G1082:H1082"/>
    <mergeCell ref="C1083:D1083"/>
    <mergeCell ref="E1083:F1083"/>
    <mergeCell ref="G1083:H1083"/>
    <mergeCell ref="I1062:J1062"/>
    <mergeCell ref="E1084:F1084"/>
    <mergeCell ref="G1084:H1084"/>
    <mergeCell ref="C1085:D1085"/>
    <mergeCell ref="E1085:F1085"/>
    <mergeCell ref="G1085:H1085"/>
    <mergeCell ref="I1063:J1063"/>
    <mergeCell ref="C1080:D1080"/>
    <mergeCell ref="E1080:F1080"/>
    <mergeCell ref="C1077:D1077"/>
    <mergeCell ref="E766:F766"/>
    <mergeCell ref="G766:H766"/>
    <mergeCell ref="E765:F765"/>
    <mergeCell ref="C766:D766"/>
    <mergeCell ref="G689:H689"/>
    <mergeCell ref="G830:H830"/>
    <mergeCell ref="G824:H824"/>
    <mergeCell ref="E823:F823"/>
    <mergeCell ref="G823:H823"/>
    <mergeCell ref="G721:H721"/>
    <mergeCell ref="A782:M782"/>
    <mergeCell ref="A783:M783"/>
    <mergeCell ref="C751:D751"/>
    <mergeCell ref="A712:H712"/>
    <mergeCell ref="A661:A662"/>
    <mergeCell ref="C661:D661"/>
    <mergeCell ref="E760:F760"/>
    <mergeCell ref="G763:H763"/>
    <mergeCell ref="E763:F763"/>
    <mergeCell ref="C768:D768"/>
    <mergeCell ref="C723:D723"/>
    <mergeCell ref="C720:D720"/>
    <mergeCell ref="E446:F446"/>
    <mergeCell ref="C510:D510"/>
    <mergeCell ref="C643:D643"/>
    <mergeCell ref="C644:D644"/>
    <mergeCell ref="E711:F711"/>
    <mergeCell ref="C708:D708"/>
    <mergeCell ref="E708:F708"/>
    <mergeCell ref="E627:F627"/>
    <mergeCell ref="G765:H765"/>
    <mergeCell ref="G760:H760"/>
    <mergeCell ref="E721:F721"/>
    <mergeCell ref="C637:D637"/>
    <mergeCell ref="G764:H764"/>
    <mergeCell ref="G723:H723"/>
    <mergeCell ref="G724:H724"/>
    <mergeCell ref="E761:F761"/>
    <mergeCell ref="C638:D638"/>
    <mergeCell ref="C648:D648"/>
    <mergeCell ref="C225:D225"/>
    <mergeCell ref="G282:H282"/>
    <mergeCell ref="G283:H283"/>
    <mergeCell ref="C258:D258"/>
    <mergeCell ref="E258:F258"/>
    <mergeCell ref="E237:F237"/>
    <mergeCell ref="A260:L260"/>
    <mergeCell ref="G236:H236"/>
    <mergeCell ref="E248:F248"/>
    <mergeCell ref="G263:H263"/>
    <mergeCell ref="C283:D283"/>
    <mergeCell ref="E282:F282"/>
    <mergeCell ref="E227:F227"/>
    <mergeCell ref="E283:F283"/>
    <mergeCell ref="C277:D277"/>
    <mergeCell ref="C282:D282"/>
    <mergeCell ref="C240:D240"/>
    <mergeCell ref="C248:D248"/>
    <mergeCell ref="C263:D263"/>
    <mergeCell ref="C234:D234"/>
    <mergeCell ref="C236:D236"/>
    <mergeCell ref="E236:F236"/>
    <mergeCell ref="C256:D256"/>
    <mergeCell ref="E263:F263"/>
    <mergeCell ref="C235:D235"/>
    <mergeCell ref="E235:F235"/>
    <mergeCell ref="E240:F240"/>
    <mergeCell ref="E257:F257"/>
    <mergeCell ref="A230:H230"/>
    <mergeCell ref="I234:J234"/>
    <mergeCell ref="C226:D226"/>
    <mergeCell ref="E226:F226"/>
    <mergeCell ref="C227:D227"/>
    <mergeCell ref="G226:H226"/>
    <mergeCell ref="E228:F228"/>
    <mergeCell ref="G228:H228"/>
    <mergeCell ref="C228:D228"/>
    <mergeCell ref="I142:J142"/>
    <mergeCell ref="I144:J144"/>
    <mergeCell ref="C444:D444"/>
    <mergeCell ref="G444:H444"/>
    <mergeCell ref="E508:F508"/>
    <mergeCell ref="G446:H446"/>
    <mergeCell ref="G445:H445"/>
    <mergeCell ref="E444:F444"/>
    <mergeCell ref="E445:F445"/>
    <mergeCell ref="A229:L229"/>
    <mergeCell ref="G441:H441"/>
    <mergeCell ref="C440:D440"/>
    <mergeCell ref="E440:F440"/>
    <mergeCell ref="G440:H440"/>
    <mergeCell ref="C437:D437"/>
    <mergeCell ref="E437:F437"/>
    <mergeCell ref="G437:H437"/>
    <mergeCell ref="C438:D438"/>
    <mergeCell ref="E438:F438"/>
    <mergeCell ref="G438:H438"/>
    <mergeCell ref="E426:F426"/>
    <mergeCell ref="G1125:H1125"/>
    <mergeCell ref="E1120:F1120"/>
    <mergeCell ref="C1118:D1118"/>
    <mergeCell ref="C1114:D1114"/>
    <mergeCell ref="E1118:F1118"/>
    <mergeCell ref="G1101:H1101"/>
    <mergeCell ref="E439:F439"/>
    <mergeCell ref="G439:H439"/>
    <mergeCell ref="C441:D441"/>
    <mergeCell ref="C1103:D1103"/>
    <mergeCell ref="C425:D425"/>
    <mergeCell ref="E425:F425"/>
    <mergeCell ref="E465:F465"/>
    <mergeCell ref="C842:D842"/>
    <mergeCell ref="C862:D862"/>
    <mergeCell ref="C728:D728"/>
    <mergeCell ref="E767:F767"/>
    <mergeCell ref="E429:F429"/>
    <mergeCell ref="C426:D426"/>
    <mergeCell ref="C1135:D1135"/>
    <mergeCell ref="G1160:H1160"/>
    <mergeCell ref="G1172:H1172"/>
    <mergeCell ref="G1139:H1139"/>
    <mergeCell ref="G1126:H1126"/>
    <mergeCell ref="C1144:D1144"/>
    <mergeCell ref="E1139:F1139"/>
    <mergeCell ref="C1138:D1138"/>
    <mergeCell ref="C1127:D1127"/>
    <mergeCell ref="C1153:D1153"/>
    <mergeCell ref="G1118:H1118"/>
    <mergeCell ref="A1166:J1166"/>
    <mergeCell ref="A1599:I1599"/>
    <mergeCell ref="E1142:F1142"/>
    <mergeCell ref="E1144:F1144"/>
    <mergeCell ref="C1147:D1147"/>
    <mergeCell ref="G1147:H1147"/>
    <mergeCell ref="C1186:D1186"/>
    <mergeCell ref="C1151:D1151"/>
    <mergeCell ref="E1186:F1186"/>
    <mergeCell ref="I212:J212"/>
    <mergeCell ref="I213:J213"/>
    <mergeCell ref="E1131:F1131"/>
    <mergeCell ref="I36:J36"/>
    <mergeCell ref="I37:J37"/>
    <mergeCell ref="I42:J42"/>
    <mergeCell ref="I239:J239"/>
    <mergeCell ref="G425:H425"/>
    <mergeCell ref="G376:H376"/>
    <mergeCell ref="I140:J140"/>
    <mergeCell ref="Q21:X21"/>
    <mergeCell ref="AG21:AN21"/>
    <mergeCell ref="I248:J248"/>
    <mergeCell ref="C249:D249"/>
    <mergeCell ref="E249:F249"/>
    <mergeCell ref="I238:J238"/>
    <mergeCell ref="C239:D239"/>
    <mergeCell ref="I33:J33"/>
    <mergeCell ref="I43:J43"/>
    <mergeCell ref="I44:J44"/>
    <mergeCell ref="I88:J88"/>
    <mergeCell ref="I38:J38"/>
    <mergeCell ref="I39:J39"/>
    <mergeCell ref="I139:J139"/>
    <mergeCell ref="I84:J84"/>
    <mergeCell ref="I66:J66"/>
    <mergeCell ref="I67:J67"/>
    <mergeCell ref="I97:J97"/>
    <mergeCell ref="A98:J98"/>
    <mergeCell ref="C132:D132"/>
    <mergeCell ref="C106:D106"/>
    <mergeCell ref="E106:F106"/>
    <mergeCell ref="C107:D107"/>
    <mergeCell ref="E107:F107"/>
    <mergeCell ref="G240:H240"/>
    <mergeCell ref="I240:J240"/>
    <mergeCell ref="E238:F238"/>
    <mergeCell ref="G238:H238"/>
    <mergeCell ref="I237:J237"/>
    <mergeCell ref="G237:H237"/>
    <mergeCell ref="I40:J40"/>
    <mergeCell ref="IG21:IN21"/>
    <mergeCell ref="I236:J236"/>
    <mergeCell ref="G227:H227"/>
    <mergeCell ref="E60:F60"/>
    <mergeCell ref="G60:H60"/>
    <mergeCell ref="G114:H114"/>
    <mergeCell ref="Y21:AF21"/>
    <mergeCell ref="I209:J209"/>
    <mergeCell ref="I61:J61"/>
    <mergeCell ref="IO21:IV21"/>
    <mergeCell ref="GS21:GZ21"/>
    <mergeCell ref="HA21:HH21"/>
    <mergeCell ref="HI21:HP21"/>
    <mergeCell ref="HQ21:HX21"/>
    <mergeCell ref="HY21:IF21"/>
    <mergeCell ref="EW21:FD21"/>
    <mergeCell ref="FE21:FL21"/>
    <mergeCell ref="FM21:FT21"/>
    <mergeCell ref="FU21:GB21"/>
    <mergeCell ref="GC21:GJ21"/>
    <mergeCell ref="GK21:GR21"/>
    <mergeCell ref="DA21:DH21"/>
    <mergeCell ref="DI21:DP21"/>
    <mergeCell ref="DQ21:DX21"/>
    <mergeCell ref="DY21:EF21"/>
    <mergeCell ref="EG21:EN21"/>
    <mergeCell ref="EO21:EV21"/>
    <mergeCell ref="BE21:BL21"/>
    <mergeCell ref="BM21:BT21"/>
    <mergeCell ref="BU21:CB21"/>
    <mergeCell ref="CC21:CJ21"/>
    <mergeCell ref="CK21:CR21"/>
    <mergeCell ref="CS21:CZ21"/>
    <mergeCell ref="AO21:AV21"/>
    <mergeCell ref="AW21:BD21"/>
    <mergeCell ref="I141:J141"/>
    <mergeCell ref="E84:F84"/>
    <mergeCell ref="I77:J77"/>
    <mergeCell ref="I78:J78"/>
    <mergeCell ref="I79:J79"/>
    <mergeCell ref="I80:J80"/>
    <mergeCell ref="I81:J81"/>
    <mergeCell ref="I82:J82"/>
    <mergeCell ref="G172:H172"/>
    <mergeCell ref="I211:J211"/>
    <mergeCell ref="C193:D193"/>
    <mergeCell ref="E193:F193"/>
    <mergeCell ref="G193:H193"/>
    <mergeCell ref="G192:H192"/>
    <mergeCell ref="G180:H180"/>
    <mergeCell ref="C210:D210"/>
    <mergeCell ref="C189:D189"/>
    <mergeCell ref="E189:F189"/>
    <mergeCell ref="G211:H211"/>
    <mergeCell ref="I180:J180"/>
    <mergeCell ref="I172:J172"/>
    <mergeCell ref="C174:D174"/>
    <mergeCell ref="E174:F174"/>
    <mergeCell ref="C166:D166"/>
    <mergeCell ref="I210:J210"/>
    <mergeCell ref="C181:D181"/>
    <mergeCell ref="C172:D172"/>
    <mergeCell ref="E172:F172"/>
    <mergeCell ref="I138:J138"/>
    <mergeCell ref="E117:F117"/>
    <mergeCell ref="I95:J95"/>
    <mergeCell ref="I74:J74"/>
    <mergeCell ref="I75:J75"/>
    <mergeCell ref="I76:J76"/>
    <mergeCell ref="I93:J93"/>
    <mergeCell ref="E132:F132"/>
    <mergeCell ref="G132:H132"/>
    <mergeCell ref="E113:F113"/>
    <mergeCell ref="E114:F114"/>
    <mergeCell ref="G58:H58"/>
    <mergeCell ref="G62:H62"/>
    <mergeCell ref="A72:H72"/>
    <mergeCell ref="C68:D68"/>
    <mergeCell ref="C66:D66"/>
    <mergeCell ref="C113:D113"/>
    <mergeCell ref="C108:D108"/>
    <mergeCell ref="E108:F108"/>
    <mergeCell ref="C114:D114"/>
    <mergeCell ref="G426:H426"/>
    <mergeCell ref="G419:H419"/>
    <mergeCell ref="E88:F88"/>
    <mergeCell ref="C419:D419"/>
    <mergeCell ref="E419:F419"/>
    <mergeCell ref="G106:H106"/>
    <mergeCell ref="C109:D109"/>
    <mergeCell ref="C128:D128"/>
    <mergeCell ref="G212:H212"/>
    <mergeCell ref="G213:H213"/>
    <mergeCell ref="E387:F387"/>
    <mergeCell ref="G387:H387"/>
    <mergeCell ref="C416:D416"/>
    <mergeCell ref="E416:F416"/>
    <mergeCell ref="I60:J60"/>
    <mergeCell ref="I63:J63"/>
    <mergeCell ref="C213:D213"/>
    <mergeCell ref="E376:F376"/>
    <mergeCell ref="A136:H136"/>
    <mergeCell ref="G113:H113"/>
    <mergeCell ref="E418:F418"/>
    <mergeCell ref="G418:H418"/>
    <mergeCell ref="C387:D387"/>
    <mergeCell ref="C1606:D1606"/>
    <mergeCell ref="A1091:J1091"/>
    <mergeCell ref="A1016:J1016"/>
    <mergeCell ref="I1507:J1507"/>
    <mergeCell ref="G1484:H1484"/>
    <mergeCell ref="A1504:H1504"/>
    <mergeCell ref="C1172:D1172"/>
    <mergeCell ref="C427:D427"/>
    <mergeCell ref="E427:F427"/>
    <mergeCell ref="G427:H427"/>
    <mergeCell ref="E1507:F1507"/>
    <mergeCell ref="C1484:D1484"/>
    <mergeCell ref="E1484:F1484"/>
    <mergeCell ref="G429:H429"/>
    <mergeCell ref="G1145:H1145"/>
    <mergeCell ref="C1148:D1148"/>
    <mergeCell ref="C1190:D1190"/>
    <mergeCell ref="G433:H433"/>
    <mergeCell ref="C434:D434"/>
    <mergeCell ref="E434:F434"/>
    <mergeCell ref="G434:H434"/>
    <mergeCell ref="C1604:D1604"/>
    <mergeCell ref="E1604:F1604"/>
    <mergeCell ref="A518:J518"/>
    <mergeCell ref="A1170:H1170"/>
    <mergeCell ref="C1154:D1154"/>
    <mergeCell ref="E1428:F1428"/>
    <mergeCell ref="G1616:H1616"/>
    <mergeCell ref="G1607:H1607"/>
    <mergeCell ref="G1594:H1594"/>
    <mergeCell ref="G1606:H1606"/>
    <mergeCell ref="G1614:H1614"/>
    <mergeCell ref="C1145:D1145"/>
    <mergeCell ref="G1615:H1615"/>
    <mergeCell ref="G1604:H1604"/>
    <mergeCell ref="C1150:D1150"/>
    <mergeCell ref="E1172:F1172"/>
    <mergeCell ref="E759:F759"/>
    <mergeCell ref="A1428:A1429"/>
    <mergeCell ref="C1428:D1428"/>
    <mergeCell ref="C1615:D1615"/>
    <mergeCell ref="C1616:D1616"/>
    <mergeCell ref="E1616:F1616"/>
    <mergeCell ref="A1172:A1173"/>
    <mergeCell ref="C1139:D1139"/>
    <mergeCell ref="A1165:J1165"/>
    <mergeCell ref="G1062:H1062"/>
    <mergeCell ref="C1376:D1376"/>
    <mergeCell ref="E1376:F1376"/>
    <mergeCell ref="C1613:D1613"/>
    <mergeCell ref="C1614:D1614"/>
    <mergeCell ref="E1615:F1615"/>
    <mergeCell ref="E1607:F1607"/>
    <mergeCell ref="E1605:F1605"/>
    <mergeCell ref="E1613:F1613"/>
    <mergeCell ref="C1609:D1609"/>
    <mergeCell ref="E1609:F1609"/>
    <mergeCell ref="G1613:H1613"/>
    <mergeCell ref="E1603:F1603"/>
    <mergeCell ref="E1596:F1596"/>
    <mergeCell ref="A1658:H1658"/>
    <mergeCell ref="A1641:J1641"/>
    <mergeCell ref="A1642:K1642"/>
    <mergeCell ref="E1617:F1617"/>
    <mergeCell ref="G1617:H1617"/>
    <mergeCell ref="A1631:H1631"/>
    <mergeCell ref="A1636:J1636"/>
    <mergeCell ref="A1619:H1619"/>
    <mergeCell ref="A1627:I1627"/>
    <mergeCell ref="A1633:J1633"/>
    <mergeCell ref="C639:D639"/>
    <mergeCell ref="C916:D916"/>
    <mergeCell ref="G1063:H1063"/>
    <mergeCell ref="A1064:H1064"/>
    <mergeCell ref="C1068:D1068"/>
    <mergeCell ref="E641:F641"/>
    <mergeCell ref="G722:H722"/>
    <mergeCell ref="E728:F728"/>
    <mergeCell ref="G761:H761"/>
    <mergeCell ref="A1659:H1659"/>
    <mergeCell ref="A1651:H1651"/>
    <mergeCell ref="A1652:H1652"/>
    <mergeCell ref="A1653:H1653"/>
    <mergeCell ref="A1656:H1656"/>
    <mergeCell ref="A1089:J1089"/>
    <mergeCell ref="A1090:J1090"/>
    <mergeCell ref="B1428:B1429"/>
    <mergeCell ref="A1657:H1657"/>
    <mergeCell ref="I877:J877"/>
    <mergeCell ref="E878:F878"/>
    <mergeCell ref="G878:H878"/>
    <mergeCell ref="I878:J878"/>
    <mergeCell ref="C580:D580"/>
    <mergeCell ref="E580:F580"/>
    <mergeCell ref="G580:H580"/>
    <mergeCell ref="G638:H638"/>
    <mergeCell ref="E635:F635"/>
    <mergeCell ref="C632:D632"/>
    <mergeCell ref="G621:H621"/>
    <mergeCell ref="G607:H607"/>
    <mergeCell ref="G617:H617"/>
    <mergeCell ref="C618:D618"/>
    <mergeCell ref="E618:F618"/>
    <mergeCell ref="G618:H618"/>
    <mergeCell ref="G614:H614"/>
    <mergeCell ref="C616:D616"/>
    <mergeCell ref="G608:H608"/>
    <mergeCell ref="A600:A601"/>
    <mergeCell ref="C600:D600"/>
    <mergeCell ref="E600:F600"/>
    <mergeCell ref="G600:H600"/>
    <mergeCell ref="A604:H604"/>
    <mergeCell ref="C608:D608"/>
    <mergeCell ref="G606:H606"/>
    <mergeCell ref="E608:F608"/>
    <mergeCell ref="G637:H637"/>
    <mergeCell ref="C628:D628"/>
    <mergeCell ref="E628:F628"/>
    <mergeCell ref="G628:H628"/>
    <mergeCell ref="A634:H634"/>
    <mergeCell ref="G619:H619"/>
    <mergeCell ref="C620:D620"/>
    <mergeCell ref="E620:F620"/>
    <mergeCell ref="G620:H620"/>
    <mergeCell ref="C621:D621"/>
    <mergeCell ref="G627:H627"/>
    <mergeCell ref="C625:D625"/>
    <mergeCell ref="E625:F625"/>
    <mergeCell ref="G625:H625"/>
    <mergeCell ref="C626:D626"/>
    <mergeCell ref="C617:D617"/>
    <mergeCell ref="E621:F621"/>
    <mergeCell ref="E617:F617"/>
    <mergeCell ref="C504:D504"/>
    <mergeCell ref="C511:D511"/>
    <mergeCell ref="E511:F511"/>
    <mergeCell ref="C523:D523"/>
    <mergeCell ref="C614:D614"/>
    <mergeCell ref="E614:F614"/>
    <mergeCell ref="E572:F572"/>
    <mergeCell ref="E573:F573"/>
    <mergeCell ref="E574:F574"/>
    <mergeCell ref="E575:F575"/>
    <mergeCell ref="C501:D501"/>
    <mergeCell ref="C568:D568"/>
    <mergeCell ref="E568:F568"/>
    <mergeCell ref="G568:H568"/>
    <mergeCell ref="C567:D567"/>
    <mergeCell ref="E567:F567"/>
    <mergeCell ref="G567:H567"/>
    <mergeCell ref="C565:D565"/>
    <mergeCell ref="E565:F565"/>
    <mergeCell ref="G509:H509"/>
    <mergeCell ref="E624:F624"/>
    <mergeCell ref="G624:H624"/>
    <mergeCell ref="G622:H622"/>
    <mergeCell ref="C582:D582"/>
    <mergeCell ref="E582:F582"/>
    <mergeCell ref="G582:H582"/>
    <mergeCell ref="E616:F616"/>
    <mergeCell ref="G616:H616"/>
    <mergeCell ref="E609:F609"/>
    <mergeCell ref="C610:D610"/>
    <mergeCell ref="G565:H565"/>
    <mergeCell ref="C566:D566"/>
    <mergeCell ref="E566:F566"/>
    <mergeCell ref="G566:H566"/>
    <mergeCell ref="C563:D563"/>
    <mergeCell ref="C560:D560"/>
    <mergeCell ref="C564:D564"/>
    <mergeCell ref="C636:D636"/>
    <mergeCell ref="E636:F636"/>
    <mergeCell ref="G636:H636"/>
    <mergeCell ref="E632:F632"/>
    <mergeCell ref="G632:H632"/>
    <mergeCell ref="C629:D629"/>
    <mergeCell ref="E629:F629"/>
    <mergeCell ref="E630:F630"/>
    <mergeCell ref="G630:H630"/>
    <mergeCell ref="C631:D631"/>
    <mergeCell ref="E579:F579"/>
    <mergeCell ref="G579:H579"/>
    <mergeCell ref="C578:D578"/>
    <mergeCell ref="C572:D572"/>
    <mergeCell ref="G572:H572"/>
    <mergeCell ref="G573:H573"/>
    <mergeCell ref="G574:H574"/>
    <mergeCell ref="G575:H575"/>
    <mergeCell ref="E631:F631"/>
    <mergeCell ref="C627:D627"/>
    <mergeCell ref="E622:F622"/>
    <mergeCell ref="E626:F626"/>
    <mergeCell ref="G626:H626"/>
    <mergeCell ref="C622:D622"/>
    <mergeCell ref="C624:D624"/>
    <mergeCell ref="G631:H631"/>
    <mergeCell ref="G629:H629"/>
    <mergeCell ref="C630:D630"/>
    <mergeCell ref="E486:F486"/>
    <mergeCell ref="G486:H486"/>
    <mergeCell ref="C581:D581"/>
    <mergeCell ref="E581:F581"/>
    <mergeCell ref="G581:H581"/>
    <mergeCell ref="E578:F578"/>
    <mergeCell ref="E563:F563"/>
    <mergeCell ref="G563:H563"/>
    <mergeCell ref="G578:H578"/>
    <mergeCell ref="C579:D579"/>
    <mergeCell ref="E528:F528"/>
    <mergeCell ref="E564:F564"/>
    <mergeCell ref="G564:H564"/>
    <mergeCell ref="C522:D522"/>
    <mergeCell ref="C553:D553"/>
    <mergeCell ref="E560:F560"/>
    <mergeCell ref="G560:H560"/>
    <mergeCell ref="C549:D549"/>
    <mergeCell ref="E549:F549"/>
    <mergeCell ref="E559:F559"/>
    <mergeCell ref="C538:D538"/>
    <mergeCell ref="G416:H416"/>
    <mergeCell ref="C417:D417"/>
    <mergeCell ref="E417:F417"/>
    <mergeCell ref="G417:H417"/>
    <mergeCell ref="C418:D418"/>
    <mergeCell ref="G483:H483"/>
    <mergeCell ref="C476:D476"/>
    <mergeCell ref="C482:D482"/>
    <mergeCell ref="G536:H536"/>
    <mergeCell ref="G428:H428"/>
    <mergeCell ref="C573:D573"/>
    <mergeCell ref="C574:D574"/>
    <mergeCell ref="C575:D575"/>
    <mergeCell ref="E435:F435"/>
    <mergeCell ref="G435:H435"/>
    <mergeCell ref="E494:F494"/>
    <mergeCell ref="G494:H494"/>
    <mergeCell ref="C530:D530"/>
    <mergeCell ref="C542:D542"/>
    <mergeCell ref="E475:F475"/>
    <mergeCell ref="G475:H475"/>
    <mergeCell ref="C488:D488"/>
    <mergeCell ref="C492:D492"/>
    <mergeCell ref="C485:D485"/>
    <mergeCell ref="E485:F485"/>
    <mergeCell ref="C475:D475"/>
    <mergeCell ref="E482:F482"/>
    <mergeCell ref="G485:H485"/>
    <mergeCell ref="C486:D486"/>
    <mergeCell ref="C428:D428"/>
    <mergeCell ref="E428:F428"/>
    <mergeCell ref="C429:D429"/>
    <mergeCell ref="C452:D452"/>
    <mergeCell ref="E452:F452"/>
    <mergeCell ref="E431:F431"/>
    <mergeCell ref="C435:D435"/>
    <mergeCell ref="C431:D431"/>
    <mergeCell ref="E441:F441"/>
    <mergeCell ref="C445:D445"/>
    <mergeCell ref="C877:D877"/>
    <mergeCell ref="E877:F877"/>
    <mergeCell ref="G877:H877"/>
    <mergeCell ref="C878:D878"/>
    <mergeCell ref="C1053:D1053"/>
    <mergeCell ref="E1051:F1051"/>
    <mergeCell ref="C1051:D1051"/>
    <mergeCell ref="A900:K900"/>
    <mergeCell ref="A901:K901"/>
    <mergeCell ref="E1049:F1049"/>
    <mergeCell ref="G1061:H1061"/>
    <mergeCell ref="C1058:D1058"/>
    <mergeCell ref="E1058:F1058"/>
    <mergeCell ref="G1058:H1058"/>
    <mergeCell ref="E1079:F1079"/>
    <mergeCell ref="G1079:H1079"/>
    <mergeCell ref="E1063:F1063"/>
    <mergeCell ref="G1067:H1067"/>
    <mergeCell ref="G1070:H1070"/>
    <mergeCell ref="C1067:D1067"/>
    <mergeCell ref="G1080:H1080"/>
    <mergeCell ref="G1077:H1077"/>
    <mergeCell ref="C1078:D1078"/>
    <mergeCell ref="E1078:F1078"/>
    <mergeCell ref="E1056:F1056"/>
    <mergeCell ref="G1072:H1072"/>
    <mergeCell ref="C1061:D1061"/>
    <mergeCell ref="C1062:D1062"/>
    <mergeCell ref="E1062:F1062"/>
    <mergeCell ref="C1056:D1056"/>
    <mergeCell ref="E1028:F1028"/>
    <mergeCell ref="C1055:D1055"/>
    <mergeCell ref="E1055:F1055"/>
    <mergeCell ref="C1059:D1059"/>
    <mergeCell ref="E1059:F1059"/>
    <mergeCell ref="G1059:H1059"/>
    <mergeCell ref="G1057:H1057"/>
    <mergeCell ref="C1057:D1057"/>
    <mergeCell ref="E1054:F1054"/>
    <mergeCell ref="G1054:H1054"/>
    <mergeCell ref="G1051:H1051"/>
    <mergeCell ref="C1081:D1081"/>
    <mergeCell ref="E1081:F1081"/>
    <mergeCell ref="G1081:H1081"/>
    <mergeCell ref="I874:J874"/>
    <mergeCell ref="I875:J875"/>
    <mergeCell ref="C876:D876"/>
    <mergeCell ref="E876:F876"/>
    <mergeCell ref="G876:H876"/>
    <mergeCell ref="I876:J876"/>
    <mergeCell ref="G1039:H1039"/>
    <mergeCell ref="C1039:D1039"/>
    <mergeCell ref="G1038:H1038"/>
    <mergeCell ref="I1050:J1050"/>
    <mergeCell ref="G1047:H1047"/>
    <mergeCell ref="I1047:J1047"/>
    <mergeCell ref="C1049:D1049"/>
    <mergeCell ref="C1042:D1042"/>
    <mergeCell ref="G1049:H1049"/>
    <mergeCell ref="G1040:H1040"/>
    <mergeCell ref="I1056:J1056"/>
    <mergeCell ref="I1057:J1057"/>
    <mergeCell ref="E1057:F1057"/>
    <mergeCell ref="I1052:J1052"/>
    <mergeCell ref="I1053:J1053"/>
    <mergeCell ref="C1054:D1054"/>
    <mergeCell ref="E1053:F1053"/>
    <mergeCell ref="G1053:H1053"/>
    <mergeCell ref="I1055:J1055"/>
    <mergeCell ref="I1054:J1054"/>
    <mergeCell ref="I1059:J1059"/>
    <mergeCell ref="G1056:H1056"/>
    <mergeCell ref="I879:J879"/>
    <mergeCell ref="A880:J880"/>
    <mergeCell ref="C450:D450"/>
    <mergeCell ref="E450:F450"/>
    <mergeCell ref="G450:H450"/>
    <mergeCell ref="C451:D451"/>
    <mergeCell ref="E451:F451"/>
    <mergeCell ref="G451:H451"/>
    <mergeCell ref="E454:F454"/>
    <mergeCell ref="G454:H454"/>
    <mergeCell ref="C455:D455"/>
    <mergeCell ref="E455:F455"/>
    <mergeCell ref="C465:D465"/>
    <mergeCell ref="C464:D464"/>
    <mergeCell ref="E464:F464"/>
    <mergeCell ref="G464:H464"/>
    <mergeCell ref="G455:H455"/>
    <mergeCell ref="G456:H456"/>
    <mergeCell ref="C473:D473"/>
    <mergeCell ref="G474:H474"/>
    <mergeCell ref="G465:H465"/>
    <mergeCell ref="G452:H452"/>
    <mergeCell ref="C453:D453"/>
    <mergeCell ref="E453:F453"/>
    <mergeCell ref="G453:H453"/>
    <mergeCell ref="G463:H463"/>
    <mergeCell ref="C469:D469"/>
    <mergeCell ref="C454:D454"/>
  </mergeCells>
  <hyperlinks>
    <hyperlink ref="A6" location="'лето 2018'!A1241" display="Гавана (осн. часть)"/>
    <hyperlink ref="A7" location="'лето 2018'!A1464" display=" - Историческая часть Гаваны"/>
    <hyperlink ref="A8" location="'лето 2018'!A1609" display=" - Восточные пляжи Гаваны"/>
    <hyperlink ref="A11" location="'лето 2018'!A613" display="Тринидад"/>
    <hyperlink ref="A12" location="'лето 2018'!A685" display="Сьенфуэгос"/>
    <hyperlink ref="A14" location="'лето 2018'!A727" display="Кайо Ларго"/>
    <hyperlink ref="A15" location="'лето 2018'!A784" display="Кайо Энсеначос"/>
    <hyperlink ref="A16" location="'лето 2018'!A810" display="Кайо Санта Мария"/>
    <hyperlink ref="A17" location="'лето 2018'!A932" display="Кайо Коко"/>
    <hyperlink ref="A18" location="'лето 2018'!A1046" display="Кайо Гильермо"/>
    <hyperlink ref="A20" location="'лето 2018'!A1198" display="Сантьяго-де-Куба"/>
    <hyperlink ref="A19" location="'лето 2018'!A1118" display="Ольгин"/>
    <hyperlink ref="A9" location="'лето 2018'!A1626" display=" - Хибакоа"/>
    <hyperlink ref="A10" location="'лето 2018'!A47" display="Варадеро"/>
    <hyperlink ref="A21:E21" location="'2015'!A1399" display="Трансферы Гавана, Варадеро (цены на остальные трансферы указаны после каждого курорта)"/>
    <hyperlink ref="A21:H21" location="'лето 2018'!A1653" display="Трансферы Гавана, Варадеро (цены на остальные трансферы указаны после каждого курорта)"/>
    <hyperlink ref="A1:L1" location="'лето 2018'!A2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</hyperlinks>
  <printOptions/>
  <pageMargins left="0.75" right="0.75" top="1" bottom="1" header="0.5" footer="0.5"/>
  <pageSetup horizontalDpi="600" verticalDpi="600" orientation="portrait" paperSize="9" r:id="rId1"/>
  <ignoredErrors>
    <ignoredError sqref="D37 E31 E36:F39 E40:F46 C40:D46 G40:H46 E1287:E1289 C58:D59 G58:H59 D60 C60 G60:H60 E63:F67 C107:D107 E107:G107 E104:F106 E108:F111 E116 E113 E1486:E1501 G1486:G1500 D1502:H1503 E294:F299 E301:F301 E300:F300 C300:D300 G300:H300 G126:H129 C128 E157:H160 C159 E166:F174 E176:F180 C84:D84 C83:D83 G83:H83 C86:D86 C85:D85 G85:H85 C88:D88 C87:D87 G87:H87 G84:H84 G86:H86 G88:H88 F87 E88:F88 F85 E86:F86 F83 E84:F84 E85 E83 E87 E94:F97 E141:F144 C192:F199 G198 E255:F259 E210:F211 E707:F711 E438 E458:F467 C738 C747:D750 E1614 E353:F359 E363:F370 E341:F349 E1604:F1610 E273:F278 E514:H517 C516 E521 E527:F531 E474:H483 C479:D482 E497:F503 E507:F510 E607:F614 E617:F622 E625:F633 E636:F645 E1060:F1061 C596 E596:G596 C593:G593 E401:F406 E420:F421 E416:F417 E426:F427 E432:F433 E579:F580 E690 E648:F649 E1148:F1154 E1157:F1163 E1194:F1199 E1187:F1189 E1202:F1203 E791:F794 E790:F790 C790:D790 G790:H790 E800:F805 C824 F824:H824 E818:F823 E824 E810 E1112:F1119 E1096:F1104 E936:F940 E946:F950 E953:F953 E951:F951 C951:D951 G951:H951 F952 C952:E952 G952:H952 E910:F916 E918:F918 E917:F917 C917:D917 G917:H917 E924:F930 E1011:F1013 E830:F835 E986:F989 E1142:F1145 E993:F997 E1001:F1008 E862:F869 E894:F897 E883:F890 E1078:F1085 E853:F856 E858:F858 E857:F857 C857:D857 G857:H857 E839:F840 E842:F844 E841:F841 C841:D841 G841:H841 E978:F981 E967:F974 E1035:F1040 E1041:F1042 C1041:D1042 G1041:H1042 E1025:F1029 E1134:F1139 C1180 D1239:E1239 E1593 E1126:F1131 F310 E311:F311 F306 E307:F309 E306 E310 E316 E314 E312 E313:F313 F312 E315:F315 F314 E317:F317 F316 D316 C317:D317 D314 C315:D315 D312 C313:D313 C312 C314 G313:H313 C316 G315:H315 G317:H317 G316:H316 G314:H314 G312:H312 E456:F456 F457 E468:F469 F227 F223 E224:F226 F219 E220:F222 E219 E223 E228:F228 E227 F268 F264 E265:F267 E264 E269:F269 E268 F209 E214:F214 E212:F212 F213 E247:H249 E246:F246 F237 E238:F238 F234 E235:F236 E234 E237 E245 E243 E241 E239 E240:F240 F239 E242:F242 F241 E244:F244 F243 F245 D245 D243 C244:D244 D241 C242:D242 D239 C240:D240 C239 C241 G240:H240 C243 G242:H242 C245 G244:H244 G245:H245 G243:H243 G241:H241 G239:H239 C1462:C1478 F1072 F1068 E1069:F1071 E1068 E1072 F1052 E1053:F1053 F1048 E1050:F1051 E1048 E1052 F1049 E1058 E1054 E1056 E1055:F1055 E1059:F1059 F1054 E1057:F1057 F1056 F1058 D1058 D1056 C1057:D1057 D1054 C1055:D1055 C1054 C1056 G1055:H1055 C1059:D1059 G1057:H1057 C1058 G1058:H1058 G1056:H1056 G1054:H1054 G1059:H1059 E958 F721 E722:F722 F718 F717 E719:F720 E718 E721 E717 E727 E725 E723 E724:F724 F723 E726:F726 F725 E728:F728 F727 D727 D725 D724 D723 C726:D726 C725 C728:D728 G726:H726 C723 C724 G724:H724 C727 G727:H727 G728:H728 G725:H725 G723:H723 E327:F328 F325 F321 E324:F324 E322:F322 E321 E323:F323 E326:F326 E325 E335:F337 F332 E333:F333 E332 E334:F334 F848 E851:F851 F849 C850:H850 C849:E849 G849:H849 C851:D851 G851:H851 F878 F874 E877:F877 F875 E874 E876:F876 E875 E879:F879 E878 E450:F455 C492 E139:F139 F140 E102:F102 F103 E131:H132 F130 E125:F125 F124 F123 E126:F129 E130 E123 E124 D190:E190 D191 F190 F191 E705:F705 F706 F62 F56 E60 F60 E58 E59 F58 F59 F57 E56 E57 E61:F61 E62 F81 F82 F76 F75 E77:F80 E76 E81 E75 E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2016-05-13T13:59:27Z</cp:lastPrinted>
  <dcterms:created xsi:type="dcterms:W3CDTF">2012-03-20T20:32:00Z</dcterms:created>
  <dcterms:modified xsi:type="dcterms:W3CDTF">2018-04-10T12:07:57Z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