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5345" windowHeight="5265" tabRatio="590" activeTab="0"/>
  </bookViews>
  <sheets>
    <sheet name="Зима 17-18, Весна 18" sheetId="1" r:id="rId1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<sst xmlns="http://schemas.openxmlformats.org/spreadsheetml/2006/main" count="2616" uniqueCount="1003">
  <si>
    <r>
      <t xml:space="preserve">JIBACOA -  ХИБАКОА </t>
    </r>
    <r>
      <rPr>
        <b/>
        <i/>
        <sz val="10"/>
        <rFont val="Arial Cyr"/>
        <family val="0"/>
      </rPr>
      <t>(местечко посередине между Гаваной и Варадеро, в 60 км от Гаваны и в 70 км от Варадеро)</t>
    </r>
  </si>
  <si>
    <t>JR SUITE DBL THE LEVEL</t>
  </si>
  <si>
    <t>JR SUITE SGL THE LEVEL</t>
  </si>
  <si>
    <t xml:space="preserve">SUITE SGL  </t>
  </si>
  <si>
    <t xml:space="preserve">Starfish Cayo Santa Maria </t>
  </si>
  <si>
    <t xml:space="preserve">SUITE DBL  </t>
  </si>
  <si>
    <t xml:space="preserve">SUITE OCEAN VIEW SGL  </t>
  </si>
  <si>
    <t>Ocean Casa del Mar</t>
  </si>
  <si>
    <t>DELUXE OCEAN VIEW DBL</t>
  </si>
  <si>
    <t>DELUXE OCEAN VIEW SGL</t>
  </si>
  <si>
    <t>Минимальное бронирование: 3 ночи</t>
  </si>
  <si>
    <t>GRAND PREMIUM  VISTA LAGUNA DBL</t>
  </si>
  <si>
    <t>GRAND PREMIUM VISTA LAGUNA SGL</t>
  </si>
  <si>
    <t>GRAND SUITE  LAGUNA DBL</t>
  </si>
  <si>
    <t>GRAND SUITE  LAGUNA SGL</t>
  </si>
  <si>
    <t>GRAND SUITE DBL OCEAN  VIEW</t>
  </si>
  <si>
    <t>Во всех категориях номеров максимально разрещение 2 взр+2 реб/3 взр</t>
  </si>
  <si>
    <t>SUPERIOR OCEAN  VIEW DBL</t>
  </si>
  <si>
    <t>SUPERIOR  OCEAN  VIEW SGL</t>
  </si>
  <si>
    <t>1 ребенок + 2 взр  (от 2 до 12 лет)</t>
  </si>
  <si>
    <t>Iberostar Playa Pilar</t>
  </si>
  <si>
    <t xml:space="preserve">DBL OCEAN VIEW </t>
  </si>
  <si>
    <t xml:space="preserve">SGL OCEAN VIEW </t>
  </si>
  <si>
    <t>SUITE SWIM OUT DBL</t>
  </si>
  <si>
    <t>FAMILIAR PREMIIUM</t>
  </si>
  <si>
    <t>2-й, 3-й, 4-й ребенок + 2 взр  (от 2 до 12 лет)</t>
  </si>
  <si>
    <t>Подростки 12 - 18 лет</t>
  </si>
  <si>
    <t xml:space="preserve">Максимальное размещение во всех типах номеров : 2 взр +2 реб/3 взр. Минимальное размещение в номере Familiar: 2 взр+3 реб/3 взр +1 реб. Максимально: 3 взр.+ 3 реб (подростка)/2 взр. + 4 реб. (подростка) </t>
  </si>
  <si>
    <t xml:space="preserve">SGL </t>
  </si>
  <si>
    <t>Pullman Cayo Coco</t>
  </si>
  <si>
    <t>DELUXE GARDEN VIEW DBL</t>
  </si>
  <si>
    <t xml:space="preserve">LUXURY JR SUITE DBL </t>
  </si>
  <si>
    <t xml:space="preserve">LUXURY JR SUITE SGL </t>
  </si>
  <si>
    <t>SUPERIOR  OCEAN  VIEW DBL</t>
  </si>
  <si>
    <t>OCEAN  VIEW DBL</t>
  </si>
  <si>
    <t>OCEAN  VIEW SGL</t>
  </si>
  <si>
    <t>Playa Coco</t>
  </si>
  <si>
    <t>Memories Holguin</t>
  </si>
  <si>
    <t>Las Americas</t>
  </si>
  <si>
    <t xml:space="preserve">                                                                    </t>
  </si>
  <si>
    <t xml:space="preserve">Ocean Vista Azul  </t>
  </si>
  <si>
    <t>SUITE SANCTURARY DBL*</t>
  </si>
  <si>
    <t xml:space="preserve">Grand Memories Varadero </t>
  </si>
  <si>
    <t>Цены включают 10% комиссии турагентствам от наземного обслуживания,  включая все трансферы.                                                                                                     Внутренний перелёт, турсбор и страховка некомиссионные.</t>
  </si>
  <si>
    <t>DBL DELUXE</t>
  </si>
  <si>
    <t>STD MODERNO DBL</t>
  </si>
  <si>
    <t>STD MODERNO SGL</t>
  </si>
  <si>
    <t>CHD + 2 взр  (от 2 до 11,99 лет)</t>
  </si>
  <si>
    <t>STD COLONIAL DBL</t>
  </si>
  <si>
    <t>STD COLONIAL SGL</t>
  </si>
  <si>
    <t>STD PARK VIEW DBL</t>
  </si>
  <si>
    <t>STD PARK VIEW SGL</t>
  </si>
  <si>
    <t>JR  SUITE MODERNO DBL</t>
  </si>
  <si>
    <t>JR  SUITE MODERNO SGL</t>
  </si>
  <si>
    <t>JR SUITE COLONIAL DBL</t>
  </si>
  <si>
    <t>JR SUITE COLONIAL SGL</t>
  </si>
  <si>
    <t>JR SUITE PARK VIEW DBL</t>
  </si>
  <si>
    <t>JR SUITE PARK VIEW SGL</t>
  </si>
  <si>
    <t>SUITE  MODERNO DBL</t>
  </si>
  <si>
    <t>SUITE  MODERNO SGL</t>
  </si>
  <si>
    <t>SUITE  COLONIAL DBL</t>
  </si>
  <si>
    <t>SUITE  COLONIAL SGL</t>
  </si>
  <si>
    <t>SUITE PARK VIEW DBL</t>
  </si>
  <si>
    <t>SUITE PARK VIEW SGL</t>
  </si>
  <si>
    <t xml:space="preserve">3*  </t>
  </si>
  <si>
    <t xml:space="preserve">DBL  STANDARD </t>
  </si>
  <si>
    <t xml:space="preserve">SGL  STANDARD  </t>
  </si>
  <si>
    <t>Размещение 3-го взрослого в номере не допускается</t>
  </si>
  <si>
    <t>Playa Cayo  Santa  Maria</t>
  </si>
  <si>
    <t>Deauville</t>
  </si>
  <si>
    <t xml:space="preserve"> </t>
  </si>
  <si>
    <t>Sunbeach</t>
  </si>
  <si>
    <r>
      <t xml:space="preserve">                                                          </t>
    </r>
    <r>
      <rPr>
        <b/>
        <i/>
        <sz val="16"/>
        <color indexed="12"/>
        <rFont val="Arial Cyr"/>
        <family val="0"/>
      </rPr>
      <t xml:space="preserve"> </t>
    </r>
    <r>
      <rPr>
        <b/>
        <i/>
        <sz val="12"/>
        <color indexed="12"/>
        <rFont val="Arial Cyr"/>
        <family val="2"/>
      </rPr>
      <t xml:space="preserve">                VARADERO   -  ВАРАДЕРО </t>
    </r>
    <r>
      <rPr>
        <i/>
        <sz val="12"/>
        <rFont val="Arial Cyr"/>
        <family val="2"/>
      </rPr>
      <t xml:space="preserve">(140 км от Гаваны)                                                            </t>
    </r>
  </si>
  <si>
    <r>
      <t xml:space="preserve">                                                                           ОТЕЛИ СИСТЕМЫ "ALL INCLUSIVE" (ВСЕ ВКЛЮЧЕНО)   НА ВАРАДЕРО                       </t>
    </r>
    <r>
      <rPr>
        <i/>
        <sz val="11"/>
        <color indexed="12"/>
        <rFont val="Arial Cyr"/>
        <family val="0"/>
      </rPr>
      <t xml:space="preserve">            </t>
    </r>
  </si>
  <si>
    <t>Отель</t>
  </si>
  <si>
    <t>JR SUITE DBL</t>
  </si>
  <si>
    <t>5*</t>
  </si>
  <si>
    <t>JR SUITE SGL</t>
  </si>
  <si>
    <t>EXTRA BED</t>
  </si>
  <si>
    <t xml:space="preserve">Paradisus Princesa del Mar              </t>
  </si>
  <si>
    <t>JR SUITE DBL OCEAN VIEW</t>
  </si>
  <si>
    <t>Melia Las Americas</t>
  </si>
  <si>
    <t>DBL</t>
  </si>
  <si>
    <t>SGL</t>
  </si>
  <si>
    <t>DBL  OCEAN  VIEW</t>
  </si>
  <si>
    <t>SGL  OCEAN  VIEW</t>
  </si>
  <si>
    <t>Melia Las Americas Bungalow</t>
  </si>
  <si>
    <t xml:space="preserve">Melia Varadero </t>
  </si>
  <si>
    <t>SUITE DBL</t>
  </si>
  <si>
    <t>SUITE SGL</t>
  </si>
  <si>
    <t>Melia Las Antillas</t>
  </si>
  <si>
    <t>4*</t>
  </si>
  <si>
    <t>Sol Palmeras</t>
  </si>
  <si>
    <t>DBL OCEAN  VIEW</t>
  </si>
  <si>
    <t>SUITE  DBL</t>
  </si>
  <si>
    <t>SUITE  SGL</t>
  </si>
  <si>
    <t>Sol Palmeras - Bungalow</t>
  </si>
  <si>
    <t>В стандартном номере разрешается размещение: 3 взр или 2 взр + 1 реб</t>
  </si>
  <si>
    <t>Sol Sirenas Coral</t>
  </si>
  <si>
    <t xml:space="preserve">DBL  </t>
  </si>
  <si>
    <t xml:space="preserve">SGL  </t>
  </si>
  <si>
    <t xml:space="preserve">EXTRA  BED </t>
  </si>
  <si>
    <t>DBL OCEAN VIEW</t>
  </si>
  <si>
    <t>SGL OCEAN VIEW</t>
  </si>
  <si>
    <t>JR  SUITE  DBL</t>
  </si>
  <si>
    <t>JR  SUITE  SGL</t>
  </si>
  <si>
    <t xml:space="preserve">Iberostar Varadero    </t>
  </si>
  <si>
    <t>CHD + 2 взр (от 2 до 12 лет)</t>
  </si>
  <si>
    <t xml:space="preserve">Iberostar Laguna Azul    </t>
  </si>
  <si>
    <t>Iberostar Playa Alameda</t>
  </si>
  <si>
    <t>Iberostar Tainos</t>
  </si>
  <si>
    <t>SGL  SUPERIOR</t>
  </si>
  <si>
    <t>Memories Varadero</t>
  </si>
  <si>
    <t>DELUXE DBL</t>
  </si>
  <si>
    <t>DELUXE SGL</t>
  </si>
  <si>
    <t>CHD + 2 взр  (от 2 до 12 лет)</t>
  </si>
  <si>
    <t>EXTRA  BED</t>
  </si>
  <si>
    <t>Barcelo Solymar</t>
  </si>
  <si>
    <t>Основное здание</t>
  </si>
  <si>
    <t>DBL  SUPERIOR OCEAN  VIEW</t>
  </si>
  <si>
    <t>SGL  SUPERIOR OCEAN  VIEW</t>
  </si>
  <si>
    <t>Barcelo Arenas Blancas</t>
  </si>
  <si>
    <t>Blau Varadero</t>
  </si>
  <si>
    <t>CHD + 2 взр (до 6 лет)</t>
  </si>
  <si>
    <t>CHD + 2 взр (от 7 до 12 лет)</t>
  </si>
  <si>
    <t>Arenas Doradas</t>
  </si>
  <si>
    <t>CHD  + 2 взр (от 2 до 12 лет)</t>
  </si>
  <si>
    <t>Barlovento</t>
  </si>
  <si>
    <t>Kawama</t>
  </si>
  <si>
    <t>Villa Tortuga</t>
  </si>
  <si>
    <t>3*</t>
  </si>
  <si>
    <t>Tuxpan</t>
  </si>
  <si>
    <t>CHD + 2 взр (до 12 лет)</t>
  </si>
  <si>
    <t>Brisas del Caribe</t>
  </si>
  <si>
    <t xml:space="preserve">DBL </t>
  </si>
  <si>
    <t>(вторая линия пляжа)</t>
  </si>
  <si>
    <t>Club Karey</t>
  </si>
  <si>
    <t>Club Tropical</t>
  </si>
  <si>
    <t>Acuazul 3*</t>
  </si>
  <si>
    <t>Oasis 2*</t>
  </si>
  <si>
    <t>Mar del Sur 2*</t>
  </si>
  <si>
    <t>однокомнатные апартаменты (цена за номер)</t>
  </si>
  <si>
    <t>двухкомнатные апартаменты (цена за номер)</t>
  </si>
  <si>
    <t>Los Delfines 3*</t>
  </si>
  <si>
    <t>BB</t>
  </si>
  <si>
    <r>
      <t xml:space="preserve">TRINIDAD  -   ТРИНИДАД </t>
    </r>
    <r>
      <rPr>
        <i/>
        <sz val="12"/>
        <rFont val="Arial Cyr"/>
        <family val="2"/>
      </rPr>
      <t>(407 км от Гаваны, Карибское побережье)</t>
    </r>
  </si>
  <si>
    <t>HB</t>
  </si>
  <si>
    <t xml:space="preserve">Iberostar Grand Hotel Trinidad </t>
  </si>
  <si>
    <t>AI</t>
  </si>
  <si>
    <t>Brisas Trinidad del Mar</t>
  </si>
  <si>
    <t>DBL  TROPICAL  OCEAN  VIEW</t>
  </si>
  <si>
    <t>SGL  TROPICAL  OCEAN  VIEW</t>
  </si>
  <si>
    <t>Ancon</t>
  </si>
  <si>
    <t xml:space="preserve">DBL  TROPICAL </t>
  </si>
  <si>
    <t>SGL  TROPICAL</t>
  </si>
  <si>
    <t>Costa  Sur</t>
  </si>
  <si>
    <t>DBL  TROPICAL</t>
  </si>
  <si>
    <t>DBL  BUNGALOW</t>
  </si>
  <si>
    <t>SGL  BUNGALOW</t>
  </si>
  <si>
    <t>Jagua</t>
  </si>
  <si>
    <t>CHD + 2 взр (от 3 до 12 лет)</t>
  </si>
  <si>
    <t>La Union</t>
  </si>
  <si>
    <t xml:space="preserve">Rancho Luna </t>
  </si>
  <si>
    <t xml:space="preserve">Faro Luna </t>
  </si>
  <si>
    <t>Курорты на островах - отели по системе ALL INCLUSIVE ( "ВСЕ ВКЛЮЧЕНО")</t>
  </si>
  <si>
    <r>
      <t xml:space="preserve">                                                                                  CAYO  LARGO  -  ОСТРОВ  КАЙО  ЛАРГО </t>
    </r>
    <r>
      <rPr>
        <i/>
        <sz val="12"/>
        <rFont val="Arial Cyr"/>
        <family val="2"/>
      </rPr>
      <t>(в Карибском море - Южное побережье)</t>
    </r>
  </si>
  <si>
    <t>Sol  Cayo  Largo</t>
  </si>
  <si>
    <r>
      <t xml:space="preserve">CAYO  ENSENACHOS - ОСТРОВ  ЭНСЕНАЧОС </t>
    </r>
    <r>
      <rPr>
        <i/>
        <sz val="12"/>
        <rFont val="Arial Cyr"/>
        <family val="0"/>
      </rPr>
      <t>( в Атлантическом океане - Северное побережье)</t>
    </r>
  </si>
  <si>
    <t xml:space="preserve">Iberostar Ensenachos  </t>
  </si>
  <si>
    <t>Park Suite DBL</t>
  </si>
  <si>
    <t>Park Suite SGL</t>
  </si>
  <si>
    <t>SPA Suite DBL</t>
  </si>
  <si>
    <t>SPA Suite SGL</t>
  </si>
  <si>
    <r>
      <t xml:space="preserve">CAYO  SANTA  MARIA - ОСТРОВ  САНТА  МАРИЯ </t>
    </r>
    <r>
      <rPr>
        <i/>
        <sz val="12"/>
        <rFont val="Arial Cyr"/>
        <family val="0"/>
      </rPr>
      <t>( в Атлантическом океане - Северное побережье)</t>
    </r>
  </si>
  <si>
    <t>Melia  Buenavista</t>
  </si>
  <si>
    <t xml:space="preserve">       Внимание! Отель только для взрослых c 18 лет!  Размещение 3-го взрослого в номере не допускается</t>
  </si>
  <si>
    <t>Melia  Cayo  Santa  Maria</t>
  </si>
  <si>
    <t>Melia  Las  Dunas</t>
  </si>
  <si>
    <t>Sol  Cayo  Santa  Maria</t>
  </si>
  <si>
    <t>НОВЫЙ</t>
  </si>
  <si>
    <t xml:space="preserve">SUITE  DBL </t>
  </si>
  <si>
    <t xml:space="preserve">SUITE  SGL </t>
  </si>
  <si>
    <r>
      <t xml:space="preserve">CAYO COCO    -  ОСТРОВ  КАЙО  КОКО </t>
    </r>
    <r>
      <rPr>
        <i/>
        <sz val="12"/>
        <rFont val="Arial Cyr"/>
        <family val="2"/>
      </rPr>
      <t>(Атлантический океан - Северное побережье)</t>
    </r>
  </si>
  <si>
    <t>Melia Cayo Coco</t>
  </si>
  <si>
    <t>Отель только для взрослых cтарше 18 лет</t>
  </si>
  <si>
    <t>Sol  Cayo  Coco</t>
  </si>
  <si>
    <t>Tryp  Cayo  Coco</t>
  </si>
  <si>
    <t xml:space="preserve">Memories Flamenco </t>
  </si>
  <si>
    <t>Memories Caribe</t>
  </si>
  <si>
    <r>
      <t xml:space="preserve">CAYO GUILLERMO  -  ОСТРОВ  КАЙО  ГИЛЬЕРМО </t>
    </r>
    <r>
      <rPr>
        <i/>
        <sz val="12"/>
        <rFont val="Arial Cyr"/>
        <family val="2"/>
      </rPr>
      <t>(</t>
    </r>
    <r>
      <rPr>
        <b/>
        <i/>
        <sz val="12"/>
        <rFont val="Arial Cyr"/>
        <family val="0"/>
      </rPr>
      <t>А</t>
    </r>
    <r>
      <rPr>
        <b/>
        <i/>
        <sz val="12"/>
        <rFont val="Arial Cyr"/>
        <family val="2"/>
      </rPr>
      <t>тлантический океан - Северное Побережье)</t>
    </r>
  </si>
  <si>
    <t>Melia Cayo Guillermo</t>
  </si>
  <si>
    <t>Sol Cayo Guillermo</t>
  </si>
  <si>
    <t>Iberostar Daiquiri</t>
  </si>
  <si>
    <t>ALL INCLUSIVE</t>
  </si>
  <si>
    <t>Paradisus Rio de Oro</t>
  </si>
  <si>
    <t>Sol Rio de Luna y Mares</t>
  </si>
  <si>
    <t xml:space="preserve">SUITE DBL </t>
  </si>
  <si>
    <t xml:space="preserve">Playa  Pesquero </t>
  </si>
  <si>
    <t>Brisas Guardalavaca</t>
  </si>
  <si>
    <t>DBL VILLA</t>
  </si>
  <si>
    <t>Club Amigo Atlantico Guardalavaca</t>
  </si>
  <si>
    <t>DBL TROPICAL</t>
  </si>
  <si>
    <t>SGL TROPICAL</t>
  </si>
  <si>
    <t xml:space="preserve">HB  </t>
  </si>
  <si>
    <t>Melia  Santiago  de  Cuba</t>
  </si>
  <si>
    <t>Brisas Sierra Mar</t>
  </si>
  <si>
    <t xml:space="preserve">DBL  TROPICAL  </t>
  </si>
  <si>
    <t xml:space="preserve">SGL  TROPICAL  </t>
  </si>
  <si>
    <t>LA HABANA   -  ГАВАНА</t>
  </si>
  <si>
    <t>Melia Cohiba</t>
  </si>
  <si>
    <t>Melia Habana</t>
  </si>
  <si>
    <t>Tryp  Habana  Libre</t>
  </si>
  <si>
    <t>DBL  PANORAMIC  VIEW</t>
  </si>
  <si>
    <t>SGL  PANORAMIC  VIEW</t>
  </si>
  <si>
    <t>Presidente</t>
  </si>
  <si>
    <t>Nacional</t>
  </si>
  <si>
    <t xml:space="preserve">Panorama    </t>
  </si>
  <si>
    <t>Comodoro</t>
  </si>
  <si>
    <t>Chateau Miramar</t>
  </si>
  <si>
    <t>Copacabana</t>
  </si>
  <si>
    <t>St. John's - Vedado</t>
  </si>
  <si>
    <t>ОТЕЛИ В ИСТОРИЧЕСКОЙ ЧАСТИ ГАВАНЫ</t>
  </si>
  <si>
    <t>Saratoga</t>
  </si>
  <si>
    <t>DELUXE  PATIO  DBL</t>
  </si>
  <si>
    <t>DELUXE  PATIO  SGL</t>
  </si>
  <si>
    <t>SUITE  PRADO  DBL</t>
  </si>
  <si>
    <t>SUITE  PRADO  SGL</t>
  </si>
  <si>
    <t>SUITE  CAPITOLIO  DBL</t>
  </si>
  <si>
    <t>SUITE  CAPITOLIO  SGL</t>
  </si>
  <si>
    <t>SUITE  HABANA  DBL</t>
  </si>
  <si>
    <t>SUITE  HABANA  SGL</t>
  </si>
  <si>
    <t>Iberostar Parque Central</t>
  </si>
  <si>
    <t>CHD + 2 взр  (от 3 до 12 лет)</t>
  </si>
  <si>
    <t>Santa Isabel 5*</t>
  </si>
  <si>
    <t>Palacio San Felipe y Santiago de Bejucal 5*</t>
  </si>
  <si>
    <t>Plaza</t>
  </si>
  <si>
    <t>Inglaterra</t>
  </si>
  <si>
    <t>Telegrafo 4*</t>
  </si>
  <si>
    <t>Florida 4*</t>
  </si>
  <si>
    <t>Armadores de Santander 4*</t>
  </si>
  <si>
    <t>Ambos Mundos 4*</t>
  </si>
  <si>
    <t>Conde de Villanueva 4*</t>
  </si>
  <si>
    <t>O' Farril 4*</t>
  </si>
  <si>
    <t>Palacio San Miguel 4*</t>
  </si>
  <si>
    <t>Palacio Marques de Prado Ameno 4*</t>
  </si>
  <si>
    <t>Los Frailes 3*</t>
  </si>
  <si>
    <t>Beltran de Santa Cruz 3*</t>
  </si>
  <si>
    <t>Tejadillo 3*</t>
  </si>
  <si>
    <t>Mercure  Sevilla</t>
  </si>
  <si>
    <t>CHD + 2 взр  (от 4 до 12 лет)</t>
  </si>
  <si>
    <t>2*</t>
  </si>
  <si>
    <t>Caribbean</t>
  </si>
  <si>
    <t>Villa Los Pinos</t>
  </si>
  <si>
    <t>Вилла с двумя спальнями (макс. 4 чел.)</t>
  </si>
  <si>
    <t>Вилла с тремя спальнями (макс. 6 чел.)</t>
  </si>
  <si>
    <t>Вилла с четырьмя спальнями (макс. 8 чел.)</t>
  </si>
  <si>
    <t>Atlantico</t>
  </si>
  <si>
    <t>Tropicoco</t>
  </si>
  <si>
    <r>
      <t>Внимание</t>
    </r>
    <r>
      <rPr>
        <b/>
        <i/>
        <sz val="12"/>
        <rFont val="Arial Cyr"/>
        <family val="2"/>
      </rPr>
      <t>: расчетный час в гостиницах Кубы - 12 часов.</t>
    </r>
  </si>
  <si>
    <t>СТОИМОСТЬ УКАЗАНА НА ОДНОГО ЧЕЛОВЕКА В НОМЕРЕ!!!</t>
  </si>
  <si>
    <t>Все  виды SUITE при одноместном проживании (SUITE SGL) расчитываются по запросу.</t>
  </si>
  <si>
    <t>ВО ВСЕХ ТАБЛИЦАХ ПРОЖИВАНИЕ EXTRA BED и CHD + 2 ВЗР  РАССЧИТАНО ТОЛЬКО ДЛЯ СТАНДАРТНЫХ НОМЕРОВ!</t>
  </si>
  <si>
    <t xml:space="preserve">Проживание 1-го ребенка с 1-им взрослым и  2 детей  в одном номере - по запросу. </t>
  </si>
  <si>
    <t>Melia Peninsula Varadero</t>
  </si>
  <si>
    <t>Ocean Varadero el Patriarca</t>
  </si>
  <si>
    <t>PRIVILEGE DELUXE DBL</t>
  </si>
  <si>
    <t>PRIVILEGE DELUXE SGL</t>
  </si>
  <si>
    <t>BUNGALOW DBL</t>
  </si>
  <si>
    <t>BUNGALOW SGL</t>
  </si>
  <si>
    <t>Blau Marina Varadero</t>
  </si>
  <si>
    <t>Blau Privilege Cayo Libertad</t>
  </si>
  <si>
    <t>VILLA PRESIDENCIAL DBL</t>
  </si>
  <si>
    <t>Royalton Cayo Santa Maria  5*</t>
  </si>
  <si>
    <t>ROYALTON SUITE  DBL</t>
  </si>
  <si>
    <t>ROYALTON SUITE SGL</t>
  </si>
  <si>
    <t>JR SUITE SGL OCEAN VIEW</t>
  </si>
  <si>
    <t xml:space="preserve">Melia Marina Varadero </t>
  </si>
  <si>
    <t>DBL THE LEVEL</t>
  </si>
  <si>
    <t>SGL THE LEVEL</t>
  </si>
  <si>
    <t>Melia Marina Varadero APARTMENTS</t>
  </si>
  <si>
    <t>RO</t>
  </si>
  <si>
    <t>1 BEDROOM APARTMENT</t>
  </si>
  <si>
    <t>2 BEDROOM APARTMENT</t>
  </si>
  <si>
    <t>Отель только для взрослых cтарше 18 лет !!!!    Размешение 3-го взрослого в номерах категории  Royal Service  не допускается</t>
  </si>
  <si>
    <t xml:space="preserve">Отель только для взрослых от 16 лет! </t>
  </si>
  <si>
    <t>EXTRA BED (только в Bungalow)</t>
  </si>
  <si>
    <t>CHD + 2 взр (до 12 лет)  (без допкровати)</t>
  </si>
  <si>
    <t>CHD + 2 взр (до 12 лет) (с допкроватью)</t>
  </si>
  <si>
    <t xml:space="preserve">Bungalow Barcelo Solymar </t>
  </si>
  <si>
    <t>DBL SUPERIOR</t>
  </si>
  <si>
    <t>SGL SUPERIOR</t>
  </si>
  <si>
    <t>FAMILIAR OCEAN  VIEW</t>
  </si>
  <si>
    <t>DBL FAMILIAR</t>
  </si>
  <si>
    <t>DUPLEX DBL</t>
  </si>
  <si>
    <t>DUPLEX SGL</t>
  </si>
  <si>
    <t xml:space="preserve">DBL  SUPERIOR </t>
  </si>
  <si>
    <t>DBL PREMIUM OCEAN VIEW</t>
  </si>
  <si>
    <t>SGL PREMIUM OCEAN VIEW</t>
  </si>
  <si>
    <t xml:space="preserve">В отеле размещение 3-го взрослого в номере не допускается!!! Максимально размещение 2 взрослых+1 ребёнок </t>
  </si>
  <si>
    <t>DBL OCEAN VIEW THE LEVEL</t>
  </si>
  <si>
    <t>DBL MARINA VIEW THE LEVEL</t>
  </si>
  <si>
    <t>SGL MARINA VIEW THE LEVEL</t>
  </si>
  <si>
    <t>3 BEDROOM APARTMENT</t>
  </si>
  <si>
    <t>DBL  PREMIUM</t>
  </si>
  <si>
    <t>SGL  PREMIUM</t>
  </si>
  <si>
    <t>Во всех категориях номеров максимально разрещение 2 взр+2 реб или 3 взр+1 реб, 1 взр+3 реб.</t>
  </si>
  <si>
    <t>Meliá Jardines del Rey</t>
  </si>
  <si>
    <t>JR SUITE OCEAN VIEW DBL</t>
  </si>
  <si>
    <t>JR SUITE OCEAN VIEW SGL</t>
  </si>
  <si>
    <t>Внимание! Отель только для взрослых c 18 лет!  В отеле размещение 3-го человека в номере не допускается</t>
  </si>
  <si>
    <t>JR  SUITE DBL</t>
  </si>
  <si>
    <t>JR  SUITE SGL</t>
  </si>
  <si>
    <t>ROYAL  SUITE DBL</t>
  </si>
  <si>
    <t>ROYAL  SUITE SGL</t>
  </si>
  <si>
    <t>PRESIDENTIAL  SUITE DBL</t>
  </si>
  <si>
    <t>PRESIDENTIAL  SUITE SGL</t>
  </si>
  <si>
    <t>DELUXE  DBL</t>
  </si>
  <si>
    <t>DELUXE  SGL</t>
  </si>
  <si>
    <t>CHD + 2 взр  (от 0 до 4 лет)</t>
  </si>
  <si>
    <t>CHD + 2 взр  (от 5 до 12 лет)</t>
  </si>
  <si>
    <t>JR SUITE DBL GARDEN VIEW</t>
  </si>
  <si>
    <t>JR SUITE SGL GARDEN VIEW</t>
  </si>
  <si>
    <t>SUITE DBL GARDEN VIEW</t>
  </si>
  <si>
    <t>SUITE SGL GARDEN VIEW</t>
  </si>
  <si>
    <t>APARTMENT STUDIO</t>
  </si>
  <si>
    <t>Максимальное размещение в Studio - 2взр+1 реб, 1 Bedroom Apartment - 3 взр+ 1 реб, 2 Bedroom Apartment - 5 взр + 1 реб, 3 Bedroom Apartment - 7 взр + 1 реб.</t>
  </si>
  <si>
    <t>В номере Standard и Ocean View максимально разрещение 3 взр или 2 взр+1 реб, в номере Jr Suite - 3 взр или 2 взр+2 реб</t>
  </si>
  <si>
    <t>Во всех категориях номеров максимально разрещение 2 взр+2 реб или 3 взр+1 реб</t>
  </si>
  <si>
    <t>Meson de la Flota 2*</t>
  </si>
  <si>
    <t>Hostal Valencia 2*</t>
  </si>
  <si>
    <t>Park View 3*</t>
  </si>
  <si>
    <t>Comendador 3*</t>
  </si>
  <si>
    <t>Terral 4* (на набережной Малекон)</t>
  </si>
  <si>
    <t>Во всех категориях номеров максимально разрещение 2 взр+2 реб или 3 взр+1 реб, 1 взр+3 реб</t>
  </si>
  <si>
    <t>JR SUITE  DBL</t>
  </si>
  <si>
    <t>JR SUITE  SGL</t>
  </si>
  <si>
    <t>В Jr Suite разрешено размещение max 2 чел, во всех остальных номерах максимально разрещение 2 взр+2 реб или 3 взр</t>
  </si>
  <si>
    <t xml:space="preserve">Внимание!  Отель  только для взрослых c 15 лет!  </t>
  </si>
  <si>
    <t>В номере DBL FAMILIAR разрешается размещение минимально: 2 взр+ 2 реб, 3 взр+ 1 реб // максимально 3 взр+ 3 реб, 2 взр+ 4 реб (расчёт стоимости под запрос)</t>
  </si>
  <si>
    <r>
      <t>4 +</t>
    </r>
    <r>
      <rPr>
        <sz val="11"/>
        <rFont val="Arial Cyr"/>
        <family val="2"/>
      </rPr>
      <t>*</t>
    </r>
  </si>
  <si>
    <t>DBL BUNGALOW</t>
  </si>
  <si>
    <t>SGL BUNGALOW</t>
  </si>
  <si>
    <t xml:space="preserve">     Внимание! Отель только для взрослых от 18 лет!  </t>
  </si>
  <si>
    <t>В Jr Suite и Royal Suite размещение max 2 чел, в Presidential Suite max 4 чел (третий и четвёртый в номере -15% от цены)</t>
  </si>
  <si>
    <t>DBL TROPICAL OCEAN VIEW</t>
  </si>
  <si>
    <t>SGL TROPICAL OCEAN VIEW</t>
  </si>
  <si>
    <t>CHD + 2 взр (от 7 до 14 лет)</t>
  </si>
  <si>
    <t>EXTRA BED в Bungalow</t>
  </si>
  <si>
    <t>Casa Granda</t>
  </si>
  <si>
    <r>
      <t xml:space="preserve">                                                         PLAYA SANTA MARIA   -  ПЛЯЖ САНТА МАРИЯ </t>
    </r>
    <r>
      <rPr>
        <b/>
        <i/>
        <sz val="10"/>
        <rFont val="Arial Cyr"/>
        <family val="0"/>
      </rPr>
      <t>самый близкий пляж от Гаваны (18 км)</t>
    </r>
  </si>
  <si>
    <t>Время заселения в гостиницы - 15 или 16 часов</t>
  </si>
  <si>
    <t>Extra BED</t>
  </si>
  <si>
    <t>Grand Village Suite для туристов от 14 лет (до 3 взр) // Family Grand Village Suite с двумя спальнями  для туристов от 14 лет (от 4 до 6 взр)</t>
  </si>
  <si>
    <t>FAMILY GRAND VILLAGE</t>
  </si>
  <si>
    <t>GRAND VILLAGE DBL</t>
  </si>
  <si>
    <t>GRAND VILLAGE SGL</t>
  </si>
  <si>
    <t>EXTRA BED (3, 4, 5 и 6-й взрослый в номере)</t>
  </si>
  <si>
    <t xml:space="preserve">Memories Paraiso Azul   </t>
  </si>
  <si>
    <t xml:space="preserve">SUITE SGL </t>
  </si>
  <si>
    <t>Paseo Habana</t>
  </si>
  <si>
    <t>NH Capri</t>
  </si>
  <si>
    <t xml:space="preserve">Royalton  Hicacos </t>
  </si>
  <si>
    <t>01.11.15 - 21.12.15</t>
  </si>
  <si>
    <t>01.04.16 - 30.04.16</t>
  </si>
  <si>
    <t>Starfish  Cuatro  Palmas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</si>
  <si>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31 декабря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>63 $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 xml:space="preserve">32 $  </t>
    </r>
  </si>
  <si>
    <t>GRAND SUITE  DBL</t>
  </si>
  <si>
    <t>GRAND SUITE  SGL</t>
  </si>
  <si>
    <t>DBL 1 BEDROOM</t>
  </si>
  <si>
    <t>SGL 1 BEDROOM</t>
  </si>
  <si>
    <t xml:space="preserve">SUITE  SNGL </t>
  </si>
  <si>
    <t>SGL  DELUXE</t>
  </si>
  <si>
    <t xml:space="preserve"> Внимание! Отель только для взрослых от 16 лет!   Размещение 3-го взрослого в номере не допускается</t>
  </si>
  <si>
    <t>DBL SUITE  OCEAN VIEW THE LEVEL</t>
  </si>
  <si>
    <t>JUNIOR SUITE  DBL  ROYAL SERVICE</t>
  </si>
  <si>
    <t>JUNIOR SUITE  SGL  ROYAL SERVICE</t>
  </si>
  <si>
    <t xml:space="preserve">Junior Suite Ocean View  DBL  Royal Service  </t>
  </si>
  <si>
    <t xml:space="preserve">Junior Suite Ocean View  SGL  Royal Service  </t>
  </si>
  <si>
    <t>SUITE  DBL  OCEAN VIEW</t>
  </si>
  <si>
    <t>SUITE  SGL OCEAN VIEW</t>
  </si>
  <si>
    <t>GRAND SUITE DBL THE LEVEL</t>
  </si>
  <si>
    <t>GRAND SUITE SGL THE LEVEL</t>
  </si>
  <si>
    <t>GRAND SUITE DBL MARINA VIEW THE LEVEL</t>
  </si>
  <si>
    <t>GRAND SUITE SGL MARINA VIEW THE LEVEL</t>
  </si>
  <si>
    <t>DBL SUPERIOR OCEAN  VIEW</t>
  </si>
  <si>
    <t>SGL SUPERIOR OCEAN  VIEW</t>
  </si>
  <si>
    <t>Максимальное размещение: 2 взр + 1 реб или 3 взр во всех номерах; в Suite - 2 взр + 2 реб или 3 взр.</t>
  </si>
  <si>
    <t>Memories Miramar Habana</t>
  </si>
  <si>
    <t>PRIVILEGE  SUITE DBL</t>
  </si>
  <si>
    <t>PRIVILEGE  SUITE SGL</t>
  </si>
  <si>
    <t>PRIVILEGE  DELUXE OCEAN VIEW DBL</t>
  </si>
  <si>
    <t>PRIVILEGE  DELUXE OCEAN VIEW  SGL</t>
  </si>
  <si>
    <t>PRIVILEGE  DELUXE OCEAN FRONT DBL</t>
  </si>
  <si>
    <t>PRIVILEGE  DELUXE OCEAN FRONT  SGL</t>
  </si>
  <si>
    <t>ROYAL MASTER SUITE DBL</t>
  </si>
  <si>
    <t>ROYAL MASTER SUITE SGL</t>
  </si>
  <si>
    <t>JR  SANCTUARY  SGL*</t>
  </si>
  <si>
    <t>JR  SANCTUARY  DBL*</t>
  </si>
  <si>
    <t>SUITE SANCTURARY SGL*</t>
  </si>
  <si>
    <t>DBL  Южное крыло</t>
  </si>
  <si>
    <t>SGL  Южное крыло</t>
  </si>
  <si>
    <t>EXTRA BED Южное крыло</t>
  </si>
  <si>
    <t>DBL  Северное крыло</t>
  </si>
  <si>
    <t>SGL Северное крыло</t>
  </si>
  <si>
    <t>EXTRA BED Северное крыло</t>
  </si>
  <si>
    <r>
      <t xml:space="preserve">CIENFUEGOS  -   СЬЕНФУЭГОС </t>
    </r>
    <r>
      <rPr>
        <i/>
        <sz val="12"/>
        <rFont val="Arial Cyr"/>
        <family val="2"/>
      </rPr>
      <t>(336 км от Гаваны, Карибское побережье)</t>
    </r>
  </si>
  <si>
    <t xml:space="preserve">В номере Park Suite возможно размещение 2 взр+2 реб или 3 взр //  SPA Suite и Duplex только для взрослых от 18 лет, максимально 3 взр. </t>
  </si>
  <si>
    <t>Memories Jibacoa</t>
  </si>
  <si>
    <t xml:space="preserve">Отель только для взрослых с 16 лет! В номере Suite разрешено размещение max 2 взр. </t>
  </si>
  <si>
    <t xml:space="preserve"> - Историческая часть Гаваны</t>
  </si>
  <si>
    <t>Варадеро</t>
  </si>
  <si>
    <t>Тринидад</t>
  </si>
  <si>
    <t>Сьенфуэгос</t>
  </si>
  <si>
    <t>Кайо Ларго</t>
  </si>
  <si>
    <t>Кайо Энсеначос</t>
  </si>
  <si>
    <t>Кайо Санта Мария</t>
  </si>
  <si>
    <t>Кайо Коко</t>
  </si>
  <si>
    <t>Кайо Гильермо</t>
  </si>
  <si>
    <t>Сантьяго-де-Куба</t>
  </si>
  <si>
    <t>Трансферы Гавана, Варадеро (цены на остальные трансферы указаны после каждого курорта)</t>
  </si>
  <si>
    <r>
      <t xml:space="preserve">Перелет Гавана - Сантьяго-де-Куба - Гавана - </t>
    </r>
    <r>
      <rPr>
        <b/>
        <i/>
        <sz val="11"/>
        <color indexed="10"/>
        <rFont val="Arial Cyr"/>
        <family val="0"/>
      </rPr>
      <t>400 долл</t>
    </r>
    <r>
      <rPr>
        <b/>
        <i/>
        <sz val="11"/>
        <rFont val="Arial Cyr"/>
        <family val="0"/>
      </rPr>
      <t xml:space="preserve">.  Билет в одну сторону - </t>
    </r>
    <r>
      <rPr>
        <b/>
        <i/>
        <sz val="11"/>
        <color indexed="10"/>
        <rFont val="Arial Cyr"/>
        <family val="0"/>
      </rPr>
      <t>200 долл</t>
    </r>
  </si>
  <si>
    <t>HOLGUIN    -  ОЛЬГИН</t>
  </si>
  <si>
    <t>Ольгин</t>
  </si>
  <si>
    <t>ОБЩИЕ УСЛОВИЯ!!! Читать обязательно.</t>
  </si>
  <si>
    <t xml:space="preserve">         Острова:</t>
  </si>
  <si>
    <t xml:space="preserve">                                               </t>
  </si>
  <si>
    <t xml:space="preserve">    Путеводитель по курортам: </t>
  </si>
  <si>
    <t xml:space="preserve"> - Восточные пляжи Гаваны</t>
  </si>
  <si>
    <t xml:space="preserve"> - Хибакоа</t>
  </si>
  <si>
    <t>Гавана (осн. часть)</t>
  </si>
  <si>
    <t>01.04.17 - 30.04.17</t>
  </si>
  <si>
    <t>DBL CLASSIC</t>
  </si>
  <si>
    <t>SGL CLASSIC</t>
  </si>
  <si>
    <t>DBL CLASSIC OCEAN  VIEW</t>
  </si>
  <si>
    <t>SGL CLASSIC OCEAN  VIEW</t>
  </si>
  <si>
    <t>Во всех категориях номеров максимально разрещение 2 взр+2 реб, 3 взр, 1 взр+3 реб</t>
  </si>
  <si>
    <t xml:space="preserve">                                               ЦЕНОВОЙ КАТAЛОГ ЗИМА 2016/17 - ВЕСНА  2017 ГОДА </t>
  </si>
  <si>
    <t>01.11.16 - 21.12.16</t>
  </si>
  <si>
    <r>
      <t xml:space="preserve">FAMILIAR </t>
    </r>
    <r>
      <rPr>
        <b/>
        <sz val="10"/>
        <rFont val="Arial Cyr"/>
        <family val="0"/>
      </rPr>
      <t>(цена за номер)</t>
    </r>
  </si>
  <si>
    <t>DBL CLASSIC OCEAN VIEW</t>
  </si>
  <si>
    <t>SGL CLASSIC OCEAN VIEW</t>
  </si>
  <si>
    <t>1 ВEDROOM DBL</t>
  </si>
  <si>
    <t xml:space="preserve">ПРИ БРОНИРОВАНИИ ОТЕЛЯ МИНИМУМ ЗА 90 ДНЕЙ ДО ЗАЕЗДА СКИДКА 5%  (ИСКЛЮЧАЯ ПЕРИОД С 22.12.16 ПО 03.01.17) </t>
  </si>
  <si>
    <t>1 BEDROOM SGL</t>
  </si>
  <si>
    <t xml:space="preserve">Внимание! Отель только для взрослых c 18 лет! В номере Jr Suite max 2 взр, в остальных категориях max 3 взр.   </t>
  </si>
  <si>
    <t xml:space="preserve">Superior Consierge Service только для взрослых! Max 2 чел. </t>
  </si>
  <si>
    <t>В номере Suite Familiar допускается размещение max 6 человек (5 взр + 1 реб)</t>
  </si>
  <si>
    <t xml:space="preserve">В номерах Junior Suite и Suite разрешено размещение 5 человек  (во всех номерах дополнительно ставится только одна допкровать). </t>
  </si>
  <si>
    <t>В остальных категориях номеров разрешено размещение: 1 взр+3 реб, 2 взр+2 реб, 3 взр+1 реб</t>
  </si>
  <si>
    <t xml:space="preserve">FAMILIAR  </t>
  </si>
  <si>
    <t xml:space="preserve">Допускается в номере Classic 2 взр+ 2 реб или 3 взр, в номере Familiar max 3 взр+1 реб, 2 взр+3 реб (каждый ребёнок - 50% от взрослого).  </t>
  </si>
  <si>
    <t>JUNIOR SUITE DBL CONCIERGE FAMILY</t>
  </si>
  <si>
    <t>JUNIOR SUITE SGL CONCIERGE FAMILY</t>
  </si>
  <si>
    <t xml:space="preserve">Paradisus Varadero </t>
  </si>
  <si>
    <t xml:space="preserve">ПРИ БРОНИРОВАНИИ ОТЕЛЯ МИНИМУМ ЗА 45 ДНЕЙ ДО ЗАЕЗДА СКИДКА 10%  (ИСКЛЮЧАЯ ПЕРИОД С 22.12.16 ПО 03.01.17)  </t>
  </si>
  <si>
    <t>*скидка раннего бронирования для номеров Стандарт, Ocean View, Jr Suite</t>
  </si>
  <si>
    <t>MASTER SUITE ONE BEDROOM CONCIERGE FAMILY</t>
  </si>
  <si>
    <t>JR SUITE DBL OCEAN VIEW ROYAL SERVICE</t>
  </si>
  <si>
    <t>JR SUITE DBL GARDEN SWIM-UP POOL ROYAL SERVICE</t>
  </si>
  <si>
    <t xml:space="preserve">*скидка раннего бронирования только для категорий номеров, помеченных звёздочкой </t>
  </si>
  <si>
    <t xml:space="preserve">DBL CLASSIC MARINA VIEW </t>
  </si>
  <si>
    <t>SGL CLASSIC MARINA VIEW</t>
  </si>
  <si>
    <t>Максимальное размещение в номерах Classic - 2 взр+2 реб или 3 взр; в номерах Grand Suite The Level - 2 взр+1 реб или 3 взр</t>
  </si>
  <si>
    <t>БЕЗ ПИТАНИЯ! ЦЕНА ЗА НОМЕР!</t>
  </si>
  <si>
    <t>ПРИ ПРОЖИВАНИИ В АПАРТАМЕНТАХ ОТ 14 НОЧЕЙ СКИДКА 10%</t>
  </si>
  <si>
    <t>Размещение ребенка во всех  номерах  Apartment - 13 долларов в день</t>
  </si>
  <si>
    <t>DBL  CLASSIC OCEAN  VIEW</t>
  </si>
  <si>
    <t>SGL  CLASSIC OCEAN  VIEW</t>
  </si>
  <si>
    <t>JR SUITE DBL OCEAN VIEW THE LEVEL</t>
  </si>
  <si>
    <t>JR SUITE SGL OCEAN VIEW THE LEVEL</t>
  </si>
  <si>
    <t>JR SUITE DBL ROMANCE OCEAN VIEW THE LEVEL</t>
  </si>
  <si>
    <t xml:space="preserve">JR SUITE DBL ROYAL SERVICE </t>
  </si>
  <si>
    <t xml:space="preserve">JR SUITE SGL ROYAL SERVICE </t>
  </si>
  <si>
    <t xml:space="preserve">JR SUITE DBL OCEAN VIEW ROYAL SERVICE </t>
  </si>
  <si>
    <t xml:space="preserve">JR SUITE SGL OCEAN VIEW ROYAL SERVICE </t>
  </si>
  <si>
    <r>
      <t xml:space="preserve">GARDEN VILLA ROYAL SERVICE  </t>
    </r>
    <r>
      <rPr>
        <b/>
        <sz val="10"/>
        <rFont val="Arial Cyr"/>
        <family val="0"/>
      </rPr>
      <t>(ЗА ВИЛЛУ)</t>
    </r>
  </si>
  <si>
    <t>Iberostar Playa  Blanca</t>
  </si>
  <si>
    <t xml:space="preserve">   22.12.16 - 02.01.17</t>
  </si>
  <si>
    <t>03.01.17 - 31.03.17</t>
  </si>
  <si>
    <t>BUNGALOW DBL OCEAN VIEW</t>
  </si>
  <si>
    <t>BUNGALOW SGL OCEAN VIEW</t>
  </si>
  <si>
    <r>
      <t xml:space="preserve">Iberostar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</si>
  <si>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>Во всех остальных категориях номеров разрешено размещение только одного ребёнка в номере с двумя взрослыми!</t>
  </si>
  <si>
    <t>Iberostar Bella Vista</t>
  </si>
  <si>
    <t>DBL ELITE</t>
  </si>
  <si>
    <t>SGL ELITE</t>
  </si>
  <si>
    <t xml:space="preserve">В номерах Стандарт и Стандарт Ocean View max 2 взр+1 реб, 3 взр; в номерах Jr Suite и Suite Elite max 3 взр; во всех остальных категориях max 2 взр!  </t>
  </si>
  <si>
    <t xml:space="preserve">В зоне Elite и в Jr Suite  размещение только для взрослых от 18 лет! </t>
  </si>
  <si>
    <t>Доплата за номер Standard Elite Ocean View - 32 долл с чел в номере в сутки, за номер Suite Elite - 38 долл с чел.</t>
  </si>
  <si>
    <t>22.12.16 - 02.01.17</t>
  </si>
  <si>
    <t>SUITE PRESIDENCIAL (ЗА НОМЕР)</t>
  </si>
  <si>
    <t xml:space="preserve">Во всех категориях номеров максимальное размещение 2 взр+2 реб, 3 взр, в номере Presidential Suite -  4 чел. </t>
  </si>
  <si>
    <t>03.01.17 - 31.01.17</t>
  </si>
  <si>
    <t>01.02.17 - 31.03.17</t>
  </si>
  <si>
    <t>Max размещение в номерах Superior и Superior Ocean View 3 взр+1 реб, 2 взр+2 реб; в номере Suite 2 взр, 2 взр+1 реб</t>
  </si>
  <si>
    <t>Max размещение в номерах Superior и Superior Ocean View 3 взр, 2 взр+1 реб; в номере Suite 2 взр, 2 взр+1 реб</t>
  </si>
  <si>
    <t xml:space="preserve">EXTRA BED  </t>
  </si>
  <si>
    <t xml:space="preserve">Starfish Montehabana </t>
  </si>
  <si>
    <t>Доплата за номер Superior - 7 долл с чел в сутки</t>
  </si>
  <si>
    <t>DBL Superior</t>
  </si>
  <si>
    <t>SGL Superior</t>
  </si>
  <si>
    <t>Starfish Las  Palmas 3*</t>
  </si>
  <si>
    <t xml:space="preserve">Starfish  Varadero  </t>
  </si>
  <si>
    <t>(ex Aguas Azules)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</si>
  <si>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17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 xml:space="preserve">$.  </t>
    </r>
    <r>
      <rPr>
        <i/>
        <sz val="11"/>
        <rFont val="Arial Cyr"/>
        <family val="0"/>
      </rPr>
      <t>Дети до 12 лет</t>
    </r>
    <r>
      <rPr>
        <b/>
        <i/>
        <sz val="11"/>
        <color indexed="10"/>
        <rFont val="Arial Cyr"/>
        <family val="0"/>
      </rPr>
      <t xml:space="preserve"> 9 $ </t>
    </r>
  </si>
  <si>
    <t xml:space="preserve">Finca Ma Dolores </t>
  </si>
  <si>
    <t>EXTRA BED TROPICAL OCEAN SIDE</t>
  </si>
  <si>
    <t>SGL TROPICAL OCEAN SIDE</t>
  </si>
  <si>
    <t>DBL TROPICAL OCEAN SIDE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</si>
  <si>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20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$.</t>
    </r>
  </si>
  <si>
    <r>
      <t xml:space="preserve">22.12.16 - 02.01.17 </t>
    </r>
  </si>
  <si>
    <t>03.01.17 - 31.04.17</t>
  </si>
  <si>
    <t>DBL без балкона</t>
  </si>
  <si>
    <t>SGL без балкона</t>
  </si>
  <si>
    <t>EXTRA  BED без балкона</t>
  </si>
  <si>
    <t>DBL с балконом</t>
  </si>
  <si>
    <t>SGL с балконом</t>
  </si>
  <si>
    <t>EXTRA  BED с балконом</t>
  </si>
  <si>
    <t xml:space="preserve">SGL SUPERIOR  </t>
  </si>
  <si>
    <t>CHD + 2 взр (от 3 до 12 лет) с балконом</t>
  </si>
  <si>
    <t>CHD + 2 взр (от 3 до 12 лет) без балкона</t>
  </si>
  <si>
    <t xml:space="preserve">EXTRA BED STANDARD  </t>
  </si>
  <si>
    <t>Доплата за номер Ocean View - 13 долл за номер в сутки, за Superior Room - 32 долл за номер в сутки</t>
  </si>
  <si>
    <t>CHD + 2 взр (до 12)</t>
  </si>
  <si>
    <t>Доплата за номер Ocean View - 13 долл за номер в сутки</t>
  </si>
  <si>
    <r>
      <t xml:space="preserve">Стоимость дана за виллу в день без питания. </t>
    </r>
    <r>
      <rPr>
        <b/>
        <i/>
        <sz val="11"/>
        <color indexed="10"/>
        <rFont val="Arial Cyr"/>
        <family val="0"/>
      </rPr>
      <t>Доплата за завтрак - 8 $ на человека, завтрак+ужин - 18 $ на человека.</t>
    </r>
  </si>
  <si>
    <r>
      <t xml:space="preserve">!!! ВНИМАНИЕ: </t>
    </r>
    <r>
      <rPr>
        <i/>
        <sz val="11"/>
        <rFont val="Arial Cyr"/>
        <family val="0"/>
      </rPr>
      <t xml:space="preserve">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rFont val="Arial Cyr"/>
        <family val="0"/>
      </rPr>
      <t>,</t>
    </r>
    <r>
      <rPr>
        <i/>
        <sz val="11"/>
        <color indexed="10"/>
        <rFont val="Arial Cyr"/>
        <family val="0"/>
      </rPr>
      <t xml:space="preserve"> 25 </t>
    </r>
    <r>
      <rPr>
        <i/>
        <sz val="11"/>
        <rFont val="Arial Cyr"/>
        <family val="0"/>
      </rPr>
      <t xml:space="preserve">и </t>
    </r>
    <r>
      <rPr>
        <i/>
        <sz val="11"/>
        <color indexed="10"/>
        <rFont val="Arial Cyr"/>
        <family val="0"/>
      </rPr>
      <t>31</t>
    </r>
    <r>
      <rPr>
        <i/>
        <sz val="11"/>
        <rFont val="Arial Cyr"/>
        <family val="0"/>
      </rPr>
      <t xml:space="preserve"> декабря  </t>
    </r>
    <r>
      <rPr>
        <b/>
        <i/>
        <sz val="11"/>
        <color indexed="10"/>
        <rFont val="Arial Cyr"/>
        <family val="0"/>
      </rPr>
      <t xml:space="preserve">13 $. </t>
    </r>
    <r>
      <rPr>
        <i/>
        <sz val="11"/>
        <rFont val="Arial Cyr"/>
        <family val="0"/>
      </rPr>
      <t xml:space="preserve"> 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</si>
  <si>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rFont val="Arial Cyr"/>
        <family val="0"/>
      </rPr>
      <t xml:space="preserve"> декабря по </t>
    </r>
    <r>
      <rPr>
        <b/>
        <i/>
        <sz val="11"/>
        <color indexed="10"/>
        <rFont val="Arial Cyr"/>
        <family val="0"/>
      </rPr>
      <t xml:space="preserve">15 $. </t>
    </r>
    <r>
      <rPr>
        <i/>
        <sz val="11"/>
        <rFont val="Arial Cyr"/>
        <family val="0"/>
      </rPr>
      <t xml:space="preserve"> </t>
    </r>
  </si>
  <si>
    <t xml:space="preserve">Внимание! Отель только для взрослых c 18 лет! </t>
  </si>
  <si>
    <t xml:space="preserve">Доплата за вид на море 22 долл с человека </t>
  </si>
  <si>
    <t>ПРИ РАННЕМ БРОНИРОВАНИИ ОТЕЛЯ С 01.10.16 ДО 30.11.16 НА ПЕРИОД С 03.01.17 ПО 30.04.17 СКИДКА 15 % СО ВЗРОСЛОГО В DBL (оплата должна быть произведена до 15.12.16)</t>
  </si>
  <si>
    <r>
      <t xml:space="preserve">Доплата за номер с видом на море  </t>
    </r>
    <r>
      <rPr>
        <i/>
        <sz val="11"/>
        <color indexed="10"/>
        <rFont val="Arial Cyr"/>
        <family val="0"/>
      </rPr>
      <t>13</t>
    </r>
    <r>
      <rPr>
        <i/>
        <sz val="11"/>
        <color indexed="10"/>
        <rFont val="Arial Cyr"/>
        <family val="0"/>
      </rPr>
      <t xml:space="preserve"> долларов </t>
    </r>
    <r>
      <rPr>
        <i/>
        <sz val="11"/>
        <rFont val="Arial Cyr"/>
        <family val="0"/>
      </rPr>
      <t xml:space="preserve"> за человека в сутки </t>
    </r>
  </si>
  <si>
    <t>DBL  SUPERIOR</t>
  </si>
  <si>
    <t xml:space="preserve">SUITE OCEAN VIEW DBL </t>
  </si>
  <si>
    <t>Доплата за смежные номера 4 долл с чел</t>
  </si>
  <si>
    <t xml:space="preserve">JR SUITE DBL SUPERIOR </t>
  </si>
  <si>
    <t xml:space="preserve">JR SUITE DBL OCEAN VIEW </t>
  </si>
  <si>
    <t xml:space="preserve">JR SUITE SGL OCEAN VIEW </t>
  </si>
  <si>
    <t xml:space="preserve">JR SUITE SGL SUPERIOR </t>
  </si>
  <si>
    <t xml:space="preserve">Внимание! Отель только для взрослых c 16 лет! </t>
  </si>
  <si>
    <t xml:space="preserve">                01.04.17 - 30.04.17</t>
  </si>
  <si>
    <t>DBL c террасой // DBL Park View</t>
  </si>
  <si>
    <t>SGL c террасой // SGL Park View</t>
  </si>
  <si>
    <r>
      <t xml:space="preserve">При HB обязательная доплата к цене  за человека в номере </t>
    </r>
    <r>
      <rPr>
        <b/>
        <i/>
        <sz val="11"/>
        <color indexed="10"/>
        <rFont val="Arial Cyr"/>
        <family val="0"/>
      </rPr>
      <t>24 и 31</t>
    </r>
    <r>
      <rPr>
        <b/>
        <i/>
        <sz val="11"/>
        <rFont val="Arial Cyr"/>
        <family val="0"/>
      </rPr>
      <t xml:space="preserve"> декабря по </t>
    </r>
    <r>
      <rPr>
        <b/>
        <i/>
        <sz val="11"/>
        <color indexed="10"/>
        <rFont val="Arial Cyr"/>
        <family val="0"/>
      </rPr>
      <t xml:space="preserve">63 $ </t>
    </r>
    <r>
      <rPr>
        <b/>
        <i/>
        <sz val="11"/>
        <rFont val="Arial Cyr"/>
        <family val="0"/>
      </rPr>
      <t xml:space="preserve"> </t>
    </r>
  </si>
  <si>
    <t xml:space="preserve">SGL SUPERIOR OCEAN VIEW </t>
  </si>
  <si>
    <t xml:space="preserve">DBL SUPERIOR  </t>
  </si>
  <si>
    <t>Iberostar Mojito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</si>
  <si>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 24 и 31 декабря на человека </t>
    </r>
    <r>
      <rPr>
        <b/>
        <i/>
        <sz val="11"/>
        <color indexed="10"/>
        <rFont val="Arial Cyr"/>
        <family val="0"/>
      </rPr>
      <t>50</t>
    </r>
    <r>
      <rPr>
        <b/>
        <i/>
        <sz val="11"/>
        <color indexed="10"/>
        <rFont val="Arial Cyr"/>
        <family val="0"/>
      </rPr>
      <t xml:space="preserve"> $</t>
    </r>
    <r>
      <rPr>
        <i/>
        <sz val="11"/>
        <color indexed="8"/>
        <rFont val="Arial Cyr"/>
        <family val="0"/>
      </rPr>
      <t xml:space="preserve">.  Дети до 12 лет </t>
    </r>
    <r>
      <rPr>
        <b/>
        <i/>
        <sz val="11"/>
        <color indexed="10"/>
        <rFont val="Arial Cyr"/>
        <family val="0"/>
      </rPr>
      <t>25</t>
    </r>
    <r>
      <rPr>
        <b/>
        <i/>
        <sz val="11"/>
        <color indexed="10"/>
        <rFont val="Arial Cyr"/>
        <family val="0"/>
      </rPr>
      <t xml:space="preserve"> $    </t>
    </r>
  </si>
  <si>
    <t>DELUXE GARDEN VIEW SGL</t>
  </si>
  <si>
    <t>Hotel Cayo Santa  Maria</t>
  </si>
  <si>
    <t>Jr Suite DBL</t>
  </si>
  <si>
    <t>Jr Suite SGL</t>
  </si>
  <si>
    <t>Jr Suite DBL Ocean View</t>
  </si>
  <si>
    <t>Jr Suite SGL Ocean View</t>
  </si>
  <si>
    <t>Suite DBL</t>
  </si>
  <si>
    <t>Suite SGL</t>
  </si>
  <si>
    <r>
      <t xml:space="preserve">!!! ВНИМАНИЕ: обязательная доплата  </t>
    </r>
    <r>
      <rPr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0"/>
      </rPr>
      <t xml:space="preserve">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0"/>
      </rPr>
      <t xml:space="preserve">декабря </t>
    </r>
    <r>
      <rPr>
        <i/>
        <sz val="11"/>
        <color indexed="10"/>
        <rFont val="Arial Cyr"/>
        <family val="0"/>
      </rPr>
      <t xml:space="preserve">44 </t>
    </r>
    <r>
      <rPr>
        <i/>
        <sz val="11"/>
        <rFont val="Arial Cyr"/>
        <family val="0"/>
      </rPr>
      <t xml:space="preserve">долл за взрослого и </t>
    </r>
    <r>
      <rPr>
        <i/>
        <sz val="11"/>
        <color indexed="10"/>
        <rFont val="Arial Cyr"/>
        <family val="0"/>
      </rPr>
      <t>22</t>
    </r>
    <r>
      <rPr>
        <i/>
        <sz val="11"/>
        <rFont val="Arial Cyr"/>
        <family val="0"/>
      </rPr>
      <t xml:space="preserve"> долл за ребенка</t>
    </r>
  </si>
  <si>
    <t>Во всех категориях номеров максимально разрещение 2 взр+2 реб/3 взр+1 реб</t>
  </si>
  <si>
    <t>Pestana Cayo Coco</t>
  </si>
  <si>
    <r>
      <t xml:space="preserve">Трансфер групповой отель на Кайо Санта Мария - отель на Варадеро - </t>
    </r>
    <r>
      <rPr>
        <b/>
        <i/>
        <sz val="11"/>
        <color indexed="10"/>
        <rFont val="Arial Cyr"/>
        <family val="0"/>
      </rPr>
      <t>35 долл OW</t>
    </r>
  </si>
  <si>
    <t>JR SUITE  SARATOGA DBL</t>
  </si>
  <si>
    <t>JR SUITE  SARATOGA SGL</t>
  </si>
  <si>
    <t>Максимальное размещение: Deluxe Patio - 2 взр, Jr Suite Saratoga - 2 взр+1 реб,  все типы Suite - 3 взр или 2 взр+2 реб</t>
  </si>
  <si>
    <t>CHD + 2 взр (от 3 до 12,99 лет)</t>
  </si>
  <si>
    <r>
      <t xml:space="preserve">Трансфер групповой отель на Кайо Санта Мария - отель в Гаване (выезд в 14.00) - </t>
    </r>
    <r>
      <rPr>
        <b/>
        <i/>
        <sz val="11"/>
        <color indexed="10"/>
        <rFont val="Arial Cyr"/>
        <family val="0"/>
      </rPr>
      <t xml:space="preserve">40 долл OW   </t>
    </r>
  </si>
  <si>
    <r>
      <t xml:space="preserve">Трансфер групповой отель на Кайо Энсеначос - отель на Варадеро - </t>
    </r>
    <r>
      <rPr>
        <b/>
        <i/>
        <sz val="11"/>
        <color indexed="10"/>
        <rFont val="Arial Cyr"/>
        <family val="0"/>
      </rPr>
      <t>35 долл OW</t>
    </r>
  </si>
  <si>
    <r>
      <t xml:space="preserve">Трансфер групповой отель в Гаване - отель на Кайо Санта Мария  (выезд в 6.00) - </t>
    </r>
    <r>
      <rPr>
        <b/>
        <i/>
        <sz val="11"/>
        <color indexed="10"/>
        <rFont val="Arial Cyr"/>
        <family val="0"/>
      </rPr>
      <t xml:space="preserve">40 долл OW   </t>
    </r>
  </si>
  <si>
    <r>
      <t xml:space="preserve">Трансфер групповой отель в Гаване - отель на Кайо Энсеначос - </t>
    </r>
    <r>
      <rPr>
        <b/>
        <i/>
        <sz val="11"/>
        <color indexed="10"/>
        <rFont val="Arial Cyr"/>
        <family val="0"/>
      </rPr>
      <t>40 долл  OW</t>
    </r>
  </si>
  <si>
    <r>
      <t xml:space="preserve">Трансферы групповые аэропорт Ольгина - отель на пляже Гуардалавака - </t>
    </r>
    <r>
      <rPr>
        <b/>
        <i/>
        <sz val="11"/>
        <color indexed="10"/>
        <rFont val="Arial Cyr"/>
        <family val="0"/>
      </rPr>
      <t>20 долл</t>
    </r>
    <r>
      <rPr>
        <b/>
        <i/>
        <sz val="11"/>
        <rFont val="Arial Cyr"/>
        <family val="0"/>
      </rPr>
      <t xml:space="preserve">;                                                                                                                                                                      Аэропорт Ольгина - отель в Сантьяго де Куба - </t>
    </r>
    <r>
      <rPr>
        <b/>
        <i/>
        <sz val="11"/>
        <color indexed="10"/>
        <rFont val="Arial Cyr"/>
        <family val="0"/>
      </rPr>
      <t>50 долл</t>
    </r>
    <r>
      <rPr>
        <b/>
        <i/>
        <sz val="11"/>
        <rFont val="Arial Cyr"/>
        <family val="0"/>
      </rPr>
      <t xml:space="preserve"> </t>
    </r>
  </si>
  <si>
    <r>
      <t>Трансферы  групповые</t>
    </r>
    <r>
      <rPr>
        <i/>
        <sz val="14"/>
        <rFont val="Arial Cyr"/>
        <family val="0"/>
      </rPr>
      <t xml:space="preserve"> </t>
    </r>
    <r>
      <rPr>
        <i/>
        <sz val="12"/>
        <rFont val="Arial Cyr"/>
        <family val="2"/>
      </rPr>
      <t>подаются под международные рейсы Аэрофлот, Air France, KLM, Condor, Air Berlin, Air Europa, Copa, Taca, LAN, Virgin Atlantic, Avianca. На все остальные вылеты или прилеты заказывается индивидуальный трансфер.</t>
    </r>
  </si>
  <si>
    <r>
      <t xml:space="preserve">!!! ВНИМАНИЕ: при </t>
    </r>
    <r>
      <rPr>
        <b/>
        <i/>
        <sz val="11"/>
        <rFont val="Arial Cyr"/>
        <family val="0"/>
      </rPr>
      <t>HB</t>
    </r>
    <r>
      <rPr>
        <i/>
        <sz val="11"/>
        <rFont val="Arial Cyr"/>
        <family val="0"/>
      </rPr>
      <t xml:space="preserve"> обязательная доплата к цене за человека в номере </t>
    </r>
    <r>
      <rPr>
        <i/>
        <sz val="11"/>
        <color indexed="10"/>
        <rFont val="Arial Cyr"/>
        <family val="0"/>
      </rPr>
      <t xml:space="preserve">24 и 31 декабря </t>
    </r>
    <r>
      <rPr>
        <i/>
        <sz val="11"/>
        <rFont val="Arial Cyr"/>
        <family val="0"/>
      </rPr>
      <t>по</t>
    </r>
    <r>
      <rPr>
        <i/>
        <sz val="11"/>
        <color indexed="10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 xml:space="preserve">47 $.  </t>
    </r>
    <r>
      <rPr>
        <i/>
        <sz val="11"/>
        <rFont val="Arial Cyr"/>
        <family val="0"/>
      </rPr>
      <t>Дети до 12 лет</t>
    </r>
    <r>
      <rPr>
        <b/>
        <i/>
        <sz val="11"/>
        <rFont val="Arial Cyr"/>
        <family val="0"/>
      </rPr>
      <t xml:space="preserve"> </t>
    </r>
    <r>
      <rPr>
        <i/>
        <sz val="11"/>
        <rFont val="Arial Cyr"/>
        <family val="0"/>
      </rPr>
      <t>по</t>
    </r>
    <r>
      <rPr>
        <b/>
        <i/>
        <sz val="11"/>
        <color indexed="10"/>
        <rFont val="Arial Cyr"/>
        <family val="0"/>
      </rPr>
      <t xml:space="preserve"> 24 $</t>
    </r>
    <r>
      <rPr>
        <i/>
        <sz val="11"/>
        <rFont val="Arial Cyr"/>
        <family val="0"/>
      </rPr>
      <t xml:space="preserve">  </t>
    </r>
  </si>
  <si>
    <t>Habana 612  3*</t>
  </si>
  <si>
    <t xml:space="preserve">Las Cuevas </t>
  </si>
  <si>
    <t>SANTIAGO DE CUBA -   САНТЬЯГО-ДЕ-КУБА</t>
  </si>
  <si>
    <t xml:space="preserve">ex Quinta Avenida </t>
  </si>
  <si>
    <t>Four Points by Sheraton Havana</t>
  </si>
  <si>
    <t xml:space="preserve">!!! При аннуляции отеля штрафные санкции начинаются за 3 недели до заезда. На новогодний сезон за 2 месяца до заезда!  </t>
  </si>
  <si>
    <t>ДАТА ОТКРЫТИЯ ПОКА НЕ ОПРЕДЕЛЕНА</t>
  </si>
  <si>
    <t>НО НЕ РАНЬШЕ ЯНВАРЯ 2017</t>
  </si>
  <si>
    <t>Be Live Experience Turquesa</t>
  </si>
  <si>
    <t>Be Live Experience Varadero</t>
  </si>
  <si>
    <t>ex Villa Cuba</t>
  </si>
  <si>
    <t>Colonial</t>
  </si>
  <si>
    <t>Pelicano</t>
  </si>
  <si>
    <r>
      <rPr>
        <b/>
        <i/>
        <sz val="11"/>
        <rFont val="Arial Cyr"/>
        <family val="0"/>
      </rPr>
      <t xml:space="preserve">Отель только для взрослых от 16 лет! </t>
    </r>
    <r>
      <rPr>
        <i/>
        <sz val="11"/>
        <rFont val="Arial Cyr"/>
        <family val="0"/>
      </rPr>
      <t>Во всех категориях номеров максимально 3 взр</t>
    </r>
  </si>
  <si>
    <t>Villa Iguana</t>
  </si>
  <si>
    <t>DBL SELECT OCEAN VIEW</t>
  </si>
  <si>
    <t>SGL SELECT OCEAN VIEW</t>
  </si>
  <si>
    <t xml:space="preserve">ДЛЯ КАТЕГОРИЙ НОМЕРОВ ПО СПЕЦПРЕДЛОЖЕНИЮ! ПРИ БРОНИРОВАНИИ ОТЕЛЯ МИНИМУМ ЗА 30 ДНЕЙ ДО ЗАЕЗДА СКИДКА 10%  (ПЕРИОД С 04.01.17 ПО 30.04.17) </t>
  </si>
  <si>
    <t xml:space="preserve">ОСТАЛЬНЫЕ КАТЕГОРИИ НОМЕРОВ: ПРИ БРОНИРОВАНИИ ОТЕЛЯ МИНИМУМ ЗА 60 ДНЕЙ ДО ЗАЕЗДА СКИДКА 10%  (ИСКЛЮЧАЯ ПЕРИОД С 22.12.16 ПО 03.01.17) </t>
  </si>
  <si>
    <t xml:space="preserve">DBL SUPERIOR OCEAN VIEW </t>
  </si>
  <si>
    <t xml:space="preserve">ПРИ БРОНИРОВАНИИ ОТЕЛЯ МИНИМУМ ЗА 60 ДНЕЙ ДО ЗАЕЗДА СКИДКА 10%  (ИСКЛЮЧАЯ ПЕРИОД С 22.12.16 ПО 03.01.17 И НОМЕРА Сlassic, Grand Suite, Grand Suite Marina View) </t>
  </si>
  <si>
    <t>Bella Costa</t>
  </si>
  <si>
    <r>
      <t xml:space="preserve">Трансфер групповой аэропорт Гавана - Хибакоа - </t>
    </r>
    <r>
      <rPr>
        <b/>
        <i/>
        <sz val="11"/>
        <color indexed="10"/>
        <rFont val="Arial Cyr"/>
        <family val="0"/>
      </rPr>
      <t>20 долл</t>
    </r>
    <r>
      <rPr>
        <b/>
        <i/>
        <sz val="11"/>
        <rFont val="Arial Cyr"/>
        <family val="0"/>
      </rPr>
      <t xml:space="preserve">,  такси (1-2 чел.) - </t>
    </r>
    <r>
      <rPr>
        <b/>
        <i/>
        <sz val="11"/>
        <color indexed="10"/>
        <rFont val="Arial Cyr"/>
        <family val="0"/>
      </rPr>
      <t>65 долл</t>
    </r>
    <r>
      <rPr>
        <b/>
        <i/>
        <sz val="11"/>
        <rFont val="Arial Cyr"/>
        <family val="0"/>
      </rPr>
      <t>, минивен (3-5 чел)</t>
    </r>
    <r>
      <rPr>
        <b/>
        <i/>
        <sz val="11"/>
        <color indexed="10"/>
        <rFont val="Arial Cyr"/>
        <family val="0"/>
      </rPr>
      <t xml:space="preserve"> 90 долл, </t>
    </r>
    <r>
      <rPr>
        <b/>
        <i/>
        <sz val="11"/>
        <rFont val="Arial Cyr"/>
        <family val="0"/>
      </rPr>
      <t xml:space="preserve">минибас (6-8 чел) </t>
    </r>
    <r>
      <rPr>
        <b/>
        <i/>
        <sz val="11"/>
        <color indexed="10"/>
        <rFont val="Arial Cyr"/>
        <family val="0"/>
      </rPr>
      <t xml:space="preserve">120 долл     </t>
    </r>
    <r>
      <rPr>
        <b/>
        <i/>
        <sz val="11"/>
        <rFont val="Arial Cyr"/>
        <family val="0"/>
      </rPr>
      <t xml:space="preserve"> </t>
    </r>
  </si>
  <si>
    <r>
      <t xml:space="preserve">Трансфер групповой аэропорт Гавана - Пляж Санта Мария - </t>
    </r>
    <r>
      <rPr>
        <b/>
        <i/>
        <sz val="11"/>
        <color indexed="10"/>
        <rFont val="Arial Cyr"/>
        <family val="0"/>
      </rPr>
      <t>15 долл</t>
    </r>
    <r>
      <rPr>
        <b/>
        <i/>
        <sz val="11"/>
        <rFont val="Arial Cyr"/>
        <family val="0"/>
      </rPr>
      <t xml:space="preserve">, такси (1-2 чел.) - </t>
    </r>
    <r>
      <rPr>
        <b/>
        <i/>
        <sz val="11"/>
        <color indexed="10"/>
        <rFont val="Arial Cyr"/>
        <family val="0"/>
      </rPr>
      <t>4</t>
    </r>
    <r>
      <rPr>
        <b/>
        <i/>
        <sz val="11"/>
        <color indexed="10"/>
        <rFont val="Arial Cyr"/>
        <family val="0"/>
      </rPr>
      <t>0 долл</t>
    </r>
    <r>
      <rPr>
        <b/>
        <i/>
        <sz val="11"/>
        <rFont val="Arial Cyr"/>
        <family val="0"/>
      </rPr>
      <t xml:space="preserve">, минивен (3-5 чел) </t>
    </r>
    <r>
      <rPr>
        <b/>
        <i/>
        <sz val="11"/>
        <color indexed="10"/>
        <rFont val="Arial Cyr"/>
        <family val="0"/>
      </rPr>
      <t xml:space="preserve">55 долл, </t>
    </r>
    <r>
      <rPr>
        <b/>
        <i/>
        <sz val="11"/>
        <rFont val="Arial Cyr"/>
        <family val="0"/>
      </rPr>
      <t>минибас (6-8 чел)</t>
    </r>
    <r>
      <rPr>
        <b/>
        <i/>
        <sz val="11"/>
        <color indexed="10"/>
        <rFont val="Arial Cyr"/>
        <family val="0"/>
      </rPr>
      <t xml:space="preserve"> 80 долл     </t>
    </r>
    <r>
      <rPr>
        <b/>
        <i/>
        <sz val="11"/>
        <rFont val="Arial Cyr"/>
        <family val="0"/>
      </rPr>
      <t xml:space="preserve">  </t>
    </r>
  </si>
  <si>
    <t xml:space="preserve">Comodoro  Bungalow Alborada </t>
  </si>
  <si>
    <r>
      <t xml:space="preserve">Внутренний перелёт Гавана - Кайо Санта Мария - Гавана + трансферы групповые от отеля до отеля - </t>
    </r>
    <r>
      <rPr>
        <b/>
        <i/>
        <sz val="11"/>
        <color indexed="10"/>
        <rFont val="Arial Cyr"/>
        <family val="0"/>
      </rPr>
      <t xml:space="preserve">280 долл RT </t>
    </r>
    <r>
      <rPr>
        <b/>
        <i/>
        <sz val="11"/>
        <rFont val="Arial Cyr"/>
        <family val="0"/>
      </rPr>
      <t xml:space="preserve">(по вт, чт, суб, воскр)                                                                                                                                       </t>
    </r>
  </si>
  <si>
    <t>Palma Real 4*</t>
  </si>
  <si>
    <t>(01.11.2017 - 30.04.2018)</t>
  </si>
  <si>
    <t xml:space="preserve">     01.11.17 - 21.12.17</t>
  </si>
  <si>
    <t xml:space="preserve">    22.12.17 - 03.01.18 </t>
  </si>
  <si>
    <t xml:space="preserve">      04.01.18 - 31.01.18</t>
  </si>
  <si>
    <t xml:space="preserve">    01.02.18 - 31.03.18</t>
  </si>
  <si>
    <t xml:space="preserve">    01.04.18 - 30.04.18</t>
  </si>
  <si>
    <t xml:space="preserve">      04.01.18 - 31.03.18</t>
  </si>
  <si>
    <t xml:space="preserve">   </t>
  </si>
  <si>
    <r>
      <rPr>
        <b/>
        <i/>
        <sz val="22"/>
        <color indexed="18"/>
        <rFont val="Arial Cyr"/>
        <family val="0"/>
      </rPr>
      <t xml:space="preserve">Туроператор Havanatour International          </t>
    </r>
    <r>
      <rPr>
        <b/>
        <i/>
        <sz val="18"/>
        <color indexed="48"/>
        <rFont val="Arial Cyr"/>
        <family val="0"/>
      </rPr>
      <t xml:space="preserve">                                                                                                                          </t>
    </r>
    <r>
      <rPr>
        <b/>
        <i/>
        <sz val="18"/>
        <color indexed="10"/>
        <rFont val="Arial Cyr"/>
        <family val="0"/>
      </rPr>
      <t xml:space="preserve">ЦЕНОВОЙ КАТAЛОГ ЗИМА 2017/18 - ВЕСНА  2018 ГОДА  </t>
    </r>
    <r>
      <rPr>
        <b/>
        <i/>
        <sz val="18"/>
        <color indexed="48"/>
        <rFont val="Arial Cyr"/>
        <family val="0"/>
      </rPr>
      <t xml:space="preserve">                                         </t>
    </r>
  </si>
  <si>
    <t>Внимание! Отель только для взрослых от 18 лет!         Размещение 3-го взрослого в номере не допускается</t>
  </si>
  <si>
    <t xml:space="preserve">ПРИ БРОНИРОВАНИИ ОТЕЛЯ МИНИМУМ ЗА 45 ДНЕЙ ДО ЗАЕЗДА СКИДКА 10%  (для номеров Srandart и Bungalow 1 Bedroom) </t>
  </si>
  <si>
    <t xml:space="preserve">В номере Bungalow Suite max 2 взр, в номерах Jr Suite, Suite и Bungalow 1 Bedroom разрешается max: 1 взр+3 реб, 2 взр+2 реб, 3 взр+1 реб (во всех номерах дополнительно ставится только одна допкровать). </t>
  </si>
  <si>
    <t xml:space="preserve">В номере Bungalow Familiar разрешается max размещение:  4 взр, 4 взр+1 реб. Минимум 3 взр. </t>
  </si>
  <si>
    <t>ПРИ БРОНИРОВАНИИ ОТЕЛЯ МИНИМУМ ЗА 60 ДНЕЙ ДО ЗАЕЗДА СКИДКА 10%</t>
  </si>
  <si>
    <t xml:space="preserve">Доплата  за одноместное проживание в номерах The Level и Ocean View The Level + 85 долларов, Suite Ocean View The Level + 98 долларов   </t>
  </si>
  <si>
    <t>*Скидка раннего бронирования 1</t>
  </si>
  <si>
    <t>*Скидка раннего бронирования 2</t>
  </si>
  <si>
    <t xml:space="preserve">1. ПРИ БРОНИРОВАНИИ ОТЕЛЯ МИНИМУМ ЗА 60 ДНЕЙ ДО ЗАЕЗДА (ИСКЛЮЧАЯ номер Suite Ocean View The Level) </t>
  </si>
  <si>
    <t xml:space="preserve">2. ПРИ БРОНИРОВАНИИ ОТЕЛЯ МИНИМУМ ЗА 30 ДНЕЙ ДО ЗАЕЗДА (ИСКЛЮЧАЯ номер Suite Ocean View The Level) </t>
  </si>
  <si>
    <t xml:space="preserve">     01.11.17 - 30.11.17</t>
  </si>
  <si>
    <t xml:space="preserve">    01.12.17 - 21.12.17 </t>
  </si>
  <si>
    <t xml:space="preserve">ПРИ БРОНИРОВАНИИ ОТЕЛЯ МИНИМУМ ЗА 45 ДНЕЙ ДО ЗАЕЗДА СКИДКА 10%  (для номеров Сlassic, Classic Ocean View, Bungalow 1 Bedroom) </t>
  </si>
  <si>
    <t>Superior  Concierge Service SGL (Дом космонавтов)</t>
  </si>
  <si>
    <t>Superior  Concierge Service DBL (Дом космонавтов)</t>
  </si>
  <si>
    <r>
      <t xml:space="preserve">FAMILIAR SUITE  </t>
    </r>
    <r>
      <rPr>
        <b/>
        <sz val="10"/>
        <rFont val="Arial Cyr"/>
        <family val="0"/>
      </rPr>
      <t xml:space="preserve">(цена за номер)  </t>
    </r>
  </si>
  <si>
    <t xml:space="preserve">*Скидка раннего бронирования </t>
  </si>
  <si>
    <t xml:space="preserve">ПРИ БРОНИРОВАНИИ ОТЕЛЯ МИНИМУМ ЗА 30 ДНЕЙ ДО ЗАЕЗДА (для номеров Standart, Standart Ocean View) </t>
  </si>
  <si>
    <t xml:space="preserve">ПРИ БРОНИРОВАНИИ ОТЕЛЯ МИНИМУМ ЗА 30 ДНЕЙ ДО ЗАЕЗДА (для номера Classic) </t>
  </si>
  <si>
    <t>JUNIOR SUITE DBL CONCIERGE FAMILY GARDEN SWIM-UP</t>
  </si>
  <si>
    <t>JUNIOR SUITE SGL CONCIERGE FAMILY GARDEN SWIM-UP</t>
  </si>
  <si>
    <r>
      <t>MASTER SUITE TWO BEDROOM CONCIERGE FAMILY (</t>
    </r>
    <r>
      <rPr>
        <b/>
        <sz val="10"/>
        <color indexed="8"/>
        <rFont val="Arial Cyr"/>
        <family val="0"/>
      </rPr>
      <t>за номер</t>
    </r>
    <r>
      <rPr>
        <sz val="10"/>
        <color indexed="8"/>
        <rFont val="Arial Cyr"/>
        <family val="0"/>
      </rPr>
      <t>)</t>
    </r>
  </si>
  <si>
    <r>
      <t>JR SUITE FAMILIAR OCEAN VIEW (</t>
    </r>
    <r>
      <rPr>
        <b/>
        <sz val="10"/>
        <color indexed="8"/>
        <rFont val="Arial Cyr"/>
        <family val="0"/>
      </rPr>
      <t>за номер</t>
    </r>
    <r>
      <rPr>
        <sz val="10"/>
        <color indexed="8"/>
        <rFont val="Arial Cyr"/>
        <family val="0"/>
      </rPr>
      <t>)</t>
    </r>
  </si>
  <si>
    <t>GARDEN VILLA ROYAL SERVICE  (за  виллу)</t>
  </si>
  <si>
    <t>*Скидка раннего бронирования Standard</t>
  </si>
  <si>
    <t>*Скидка раннего бронирования Family Consierge</t>
  </si>
  <si>
    <t>*Скидка раннего бронирования Royal Service</t>
  </si>
  <si>
    <t xml:space="preserve">1. ПРИ БРОНИРОВАНИИ ОТЕЛЯ МИНИМУМ ЗА 30 ДНЕЙ ДО ЗАЕЗДА (ИСКЛЮЧАЯ номер Jr Suite Familiar) </t>
  </si>
  <si>
    <t xml:space="preserve">2. ПРИ БРОНИРОВАНИИ ОТЕЛЯ МИНИМУМ ЗА 30 ДНЕЙ ДО ЗАЕЗДА (ИСКЛЮЧАЯ номер Master Suite Two Bedroom) </t>
  </si>
  <si>
    <t xml:space="preserve">3. ПРИ БРОНИРОВАНИИ ОТЕЛЯ МИНИМУМ ЗА 30 ДНЕЙ ДО ЗАЕЗДА (ИСКЛЮЧАЯ Garden Villa) </t>
  </si>
  <si>
    <t xml:space="preserve">В номере Master Suite Two Bedroom Concierge Family размещение min 4 взр, max 6 взр+1 реб. </t>
  </si>
  <si>
    <t xml:space="preserve">Номера Royal Service и Garden Villa только для взрослых от 18 лет, max 2 взр! В остальных номерах допустимо размещение 3 взр, 2 взр + 2 реб. </t>
  </si>
  <si>
    <t xml:space="preserve">В номере Jr Suite Familiar max 4 взр+2 реб. В номере Master Suite One Bedroom Concierge Family размещение от 2 до 4 чел. </t>
  </si>
  <si>
    <t>MASTER JR SUITE DBL GARDEN SWIM-UP ROYAL SERVICE</t>
  </si>
  <si>
    <r>
      <t>MASTER SUITE ROYAL SERVICE  (</t>
    </r>
    <r>
      <rPr>
        <b/>
        <sz val="10"/>
        <rFont val="Arial Cyr"/>
        <family val="0"/>
      </rPr>
      <t>за номер</t>
    </r>
    <r>
      <rPr>
        <sz val="10"/>
        <rFont val="Arial Cyr"/>
        <family val="0"/>
      </rPr>
      <t>)</t>
    </r>
  </si>
  <si>
    <r>
      <t>SUITE PRESIDENCIAL ROYAL SERVICE  (</t>
    </r>
    <r>
      <rPr>
        <b/>
        <sz val="10"/>
        <rFont val="Arial Cyr"/>
        <family val="0"/>
      </rPr>
      <t>за номер</t>
    </r>
    <r>
      <rPr>
        <sz val="10"/>
        <rFont val="Arial Cyr"/>
        <family val="0"/>
      </rPr>
      <t>)</t>
    </r>
  </si>
  <si>
    <t xml:space="preserve">JR SUITE DBL </t>
  </si>
  <si>
    <t xml:space="preserve">SUITE DBL ROYAL SERVICE </t>
  </si>
  <si>
    <t xml:space="preserve">LUXURY JR SUITE DBL ROYAL SERVICE </t>
  </si>
  <si>
    <t>1. ПРИ БРОНИРОВАНИИ ОТЕЛЯ МИНИМУМ ЗА 30 ДНЕЙ ДО ЗАЕЗДА</t>
  </si>
  <si>
    <t xml:space="preserve">2. ПРИ БРОНИРОВАНИИ ОТЕЛЯ МИНИМУМ ЗА 30 ДНЕЙ ДО ЗАЕЗДА (ИСКЛЮЧАЯ Master Suite Royal Service и Suite Presidencial) </t>
  </si>
  <si>
    <t xml:space="preserve">Доплата  за одноместное проживание во всех категориях Royal Service + 111 долларов.   </t>
  </si>
  <si>
    <t xml:space="preserve">ПРИ БРОНИРОВАНИИ ОТЕЛЯ МИНИМУМ ЗА 30 ДНЕЙ ДО ЗАЕЗДА СКИДКА 15%  (В ПЕРИОД С 22.12 ПО 03.01 СКИДКА 10%; ИСКЛЮЧАЯ НОМЕРА Grand Suite, Grand Suite Marina View) </t>
  </si>
  <si>
    <t xml:space="preserve">ПРИ БРОНИРОВАНИИ ОТЕЛЯ МИНИМУМ ЗА 30 ДНЕЙ ДО ЗАЕЗДА СКИДКА 10% </t>
  </si>
  <si>
    <t>ПРИ БРОНИРОВАНИИ ОТЕЛЯ МИНИМУМ ЗА 45 ДНЕЙ ДО ЗАЕЗДА СКИДКА 10% (ИСКЛЮЧАЯ номер Grand Suite Laguna)</t>
  </si>
  <si>
    <t xml:space="preserve">GRAND SUITE SGL OCEAN  VIEW  </t>
  </si>
  <si>
    <t>ПРИ БРОНИРОВАНИИ ОТЕЛЯ МИНИМУМ ЗА 30 ДНЕЙ ДО ЗАЕЗДА СКИДКА 10% (ИСКЛЮЧАЯ номер Grand Suite)</t>
  </si>
  <si>
    <t>ROYAL SUITE DBL THE LEVEL</t>
  </si>
  <si>
    <t>GRAND SUITE DBL OCEAN VIEW THE LEVEL</t>
  </si>
  <si>
    <r>
      <t>VILLA ZAIDA DEL RIO THE LEVEL (</t>
    </r>
    <r>
      <rPr>
        <b/>
        <sz val="10"/>
        <color indexed="8"/>
        <rFont val="Arial Cyr"/>
        <family val="0"/>
      </rPr>
      <t>за виллу</t>
    </r>
    <r>
      <rPr>
        <sz val="10"/>
        <color indexed="8"/>
        <rFont val="Arial Cyr"/>
        <family val="0"/>
      </rPr>
      <t>)</t>
    </r>
  </si>
  <si>
    <t>ПРИ БРОНИРОВАНИИ ОТЕЛЯ МИНИМУМ ЗА 45 ДНЕЙ ДО ЗАЕЗДА СКИДКА 10% (ИСКЛЮЧАЯ номер Jr Suite)</t>
  </si>
  <si>
    <r>
      <t>FAMILIAR OCEAN  VIEW (</t>
    </r>
    <r>
      <rPr>
        <b/>
        <sz val="10"/>
        <color indexed="8"/>
        <rFont val="Arial Cyr"/>
        <family val="0"/>
      </rPr>
      <t>за номер</t>
    </r>
    <r>
      <rPr>
        <sz val="10"/>
        <color indexed="8"/>
        <rFont val="Arial Cyr"/>
        <family val="0"/>
      </rPr>
      <t>)</t>
    </r>
  </si>
  <si>
    <t>ПРИ БРОНИРОВАНИИ ОТЕЛЯ МИНИМУМ ЗА 30 ДНЕЙ ДО ЗАЕЗДА СКИДКА 10% (ИСКЛЮЧАЯ номер Familiar)</t>
  </si>
  <si>
    <t>Минимальное размещение в номере Familiar: 2 взр+2 реб. Максимально: 4 взр.+ 1 реб</t>
  </si>
  <si>
    <t xml:space="preserve">LUXURY JR SUITE DBL OCEAN VIEW </t>
  </si>
  <si>
    <t>LUXURY JR SUITE SGL OCEAN VIEW</t>
  </si>
  <si>
    <t xml:space="preserve">ПРИ БРОНИРОВАНИИ ОТЕЛЯ МИНИМУМ ЗА 30 ДНЕЙ ДО ЗАЕЗДА СКИДКА 10% (для номеров Jr Suite, Luxury, Luxury Ocean View) </t>
  </si>
  <si>
    <t xml:space="preserve">ПРИ БРОНИРОВАНИИ ОТЕЛЯ МИНИМУМ ЗА 30 ДНЕЙ ДО ЗАЕЗДА СКИДКА 15% (для номеров Jr Suite Royal Service, Jr Suite Ocean View Royal Service) </t>
  </si>
  <si>
    <t>01.11.17 - 21.12.17</t>
  </si>
  <si>
    <t>22.12.17 - 03.01.18</t>
  </si>
  <si>
    <t>04.01.18 - 31.03.18</t>
  </si>
  <si>
    <t>01.04.18 - 30.04.18</t>
  </si>
  <si>
    <t>22.12.17 - 31.03.18</t>
  </si>
  <si>
    <t>Категории номеров Jr Suite, Grand Suite, The Level, Jr Suite The Level, Grand Suite The Level, Master Suite The Level под запрос</t>
  </si>
  <si>
    <t xml:space="preserve">DBL THE LEVEL </t>
  </si>
  <si>
    <t xml:space="preserve">SGL THE LEVEL </t>
  </si>
  <si>
    <r>
      <t xml:space="preserve">!!!ВНИМАНИЕ: во время Feria de la Habana (FIHAV) </t>
    </r>
    <r>
      <rPr>
        <b/>
        <i/>
        <sz val="11"/>
        <color indexed="10"/>
        <rFont val="Arial Cyr"/>
        <family val="0"/>
      </rPr>
      <t>с 1 ноября по 5 ноября</t>
    </r>
    <r>
      <rPr>
        <b/>
        <i/>
        <sz val="11"/>
        <rFont val="Arial Cyr"/>
        <family val="0"/>
      </rPr>
      <t xml:space="preserve"> обязательная доплата </t>
    </r>
    <r>
      <rPr>
        <b/>
        <i/>
        <sz val="11"/>
        <color indexed="10"/>
        <rFont val="Arial Cyr"/>
        <family val="0"/>
      </rPr>
      <t>26</t>
    </r>
    <r>
      <rPr>
        <b/>
        <i/>
        <sz val="11"/>
        <color indexed="10"/>
        <rFont val="Arial Cyr"/>
        <family val="0"/>
      </rPr>
      <t xml:space="preserve"> долларов </t>
    </r>
    <r>
      <rPr>
        <b/>
        <i/>
        <sz val="11"/>
        <rFont val="Arial Cyr"/>
        <family val="0"/>
      </rPr>
      <t xml:space="preserve">с человека в номере за ночь!!! </t>
    </r>
  </si>
  <si>
    <t>Категории номеров Premium, Premium Ocean View, The Level Ocean View, Jr Suite The Level под запрос</t>
  </si>
  <si>
    <t>04.01.18 - 31.01.18</t>
  </si>
  <si>
    <t>01.02.18 - 31.03.18</t>
  </si>
  <si>
    <r>
      <t xml:space="preserve">!!!ВНИМАНИЕ: при HB обязательный праздничный ужин  </t>
    </r>
    <r>
      <rPr>
        <i/>
        <sz val="11"/>
        <color indexed="10"/>
        <rFont val="Arial Cyr"/>
        <family val="0"/>
      </rPr>
      <t>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+ 91 долларов</t>
    </r>
    <r>
      <rPr>
        <i/>
        <sz val="11"/>
        <rFont val="Arial Cyr"/>
        <family val="0"/>
      </rPr>
      <t xml:space="preserve">, ( при BB </t>
    </r>
    <r>
      <rPr>
        <b/>
        <i/>
        <sz val="11"/>
        <color indexed="10"/>
        <rFont val="Arial Cyr"/>
        <family val="0"/>
      </rPr>
      <t xml:space="preserve">+ 117 долларов </t>
    </r>
    <r>
      <rPr>
        <i/>
        <sz val="11"/>
        <rFont val="Arial Cyr"/>
        <family val="0"/>
      </rPr>
      <t>по желанию)</t>
    </r>
  </si>
  <si>
    <t xml:space="preserve">DBL  THE LEVEL   </t>
  </si>
  <si>
    <t xml:space="preserve">SGL THE LEVEL   </t>
  </si>
  <si>
    <t xml:space="preserve">MASTER  SUITE  DBL THE LEVEL  </t>
  </si>
  <si>
    <t xml:space="preserve">MASTER  SUITE  SGL  THE LEVEL  </t>
  </si>
  <si>
    <t>01.11.17 - 30.11.17</t>
  </si>
  <si>
    <t>01.12.17 - 21.12.17</t>
  </si>
  <si>
    <r>
      <t xml:space="preserve">!!!ВНИМАНИЕ: при HB обязательный праздничный ужин  </t>
    </r>
    <r>
      <rPr>
        <i/>
        <sz val="11"/>
        <color indexed="10"/>
        <rFont val="Arial Cyr"/>
        <family val="0"/>
      </rPr>
      <t>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+ 65 долларов</t>
    </r>
    <r>
      <rPr>
        <i/>
        <sz val="11"/>
        <rFont val="Arial Cyr"/>
        <family val="0"/>
      </rPr>
      <t xml:space="preserve">, ( при BB </t>
    </r>
    <r>
      <rPr>
        <b/>
        <i/>
        <sz val="11"/>
        <color indexed="10"/>
        <rFont val="Arial Cyr"/>
        <family val="0"/>
      </rPr>
      <t xml:space="preserve">+ 78 долларов </t>
    </r>
    <r>
      <rPr>
        <i/>
        <sz val="11"/>
        <rFont val="Arial Cyr"/>
        <family val="0"/>
      </rPr>
      <t>по желанию)</t>
    </r>
  </si>
  <si>
    <t>01.11.17 - 28.12.17</t>
  </si>
  <si>
    <t>21.04.18 - 30.04.18</t>
  </si>
  <si>
    <r>
      <t xml:space="preserve">   29.12.17 - </t>
    </r>
    <r>
      <rPr>
        <b/>
        <sz val="11"/>
        <rFont val="Arial Cyr"/>
        <family val="0"/>
      </rPr>
      <t>09.01.18</t>
    </r>
  </si>
  <si>
    <t>10.01.18 - 15.01.18</t>
  </si>
  <si>
    <t>01.04.18 - 20.04.18</t>
  </si>
  <si>
    <t>16.01.18 - 31.03.18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</si>
  <si>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25 декабря, 7 января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 xml:space="preserve">57 долл, </t>
    </r>
    <r>
      <rPr>
        <i/>
        <sz val="11"/>
        <color indexed="10"/>
        <rFont val="Arial Cyr"/>
        <family val="0"/>
      </rPr>
      <t>31 декабря</t>
    </r>
    <r>
      <rPr>
        <b/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>по</t>
    </r>
    <r>
      <rPr>
        <b/>
        <i/>
        <sz val="11"/>
        <color indexed="10"/>
        <rFont val="Arial Cyr"/>
        <family val="0"/>
      </rPr>
      <t xml:space="preserve"> 76 долл</t>
    </r>
    <r>
      <rPr>
        <i/>
        <sz val="11"/>
        <color indexed="8"/>
        <rFont val="Arial Cyr"/>
        <family val="0"/>
      </rPr>
      <t xml:space="preserve">  </t>
    </r>
  </si>
  <si>
    <t>10.01.18 - 28.02.18</t>
  </si>
  <si>
    <t>22.12.17 - 28.12.17</t>
  </si>
  <si>
    <t>01.03.18 - 31.03.18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</si>
  <si>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25 декабря, 7 января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 xml:space="preserve">52 долл, </t>
    </r>
    <r>
      <rPr>
        <i/>
        <sz val="11"/>
        <color indexed="10"/>
        <rFont val="Arial Cyr"/>
        <family val="0"/>
      </rPr>
      <t>31 декабря</t>
    </r>
    <r>
      <rPr>
        <b/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>по</t>
    </r>
    <r>
      <rPr>
        <b/>
        <i/>
        <sz val="11"/>
        <color indexed="10"/>
        <rFont val="Arial Cyr"/>
        <family val="0"/>
      </rPr>
      <t xml:space="preserve"> 65 долл</t>
    </r>
    <r>
      <rPr>
        <i/>
        <sz val="11"/>
        <color indexed="8"/>
        <rFont val="Arial Cyr"/>
        <family val="0"/>
      </rPr>
      <t xml:space="preserve">  </t>
    </r>
  </si>
  <si>
    <t xml:space="preserve">Максимальное размещение: в номерах DBL - 2 взр+2  реб/3 взр; в номерах Suite - 2 взр+2 реб/2 взр. </t>
  </si>
  <si>
    <t xml:space="preserve">   29.12.17 - 09.01.18</t>
  </si>
  <si>
    <t>10.01.18 - 31.03.18</t>
  </si>
  <si>
    <r>
      <t xml:space="preserve">Перелет и трансферы Гавана - Кайо Коко и трансферы групповые от отеля до отеля OW - </t>
    </r>
    <r>
      <rPr>
        <b/>
        <i/>
        <sz val="11"/>
        <color indexed="10"/>
        <rFont val="Arial Cyr"/>
        <family val="0"/>
      </rPr>
      <t xml:space="preserve">93 </t>
    </r>
    <r>
      <rPr>
        <b/>
        <i/>
        <sz val="11"/>
        <color indexed="10"/>
        <rFont val="Arial Cyr"/>
        <family val="0"/>
      </rPr>
      <t>долл</t>
    </r>
    <r>
      <rPr>
        <b/>
        <i/>
        <sz val="11"/>
        <rFont val="Arial Cyr"/>
        <family val="0"/>
      </rPr>
      <t xml:space="preserve">       </t>
    </r>
    <r>
      <rPr>
        <b/>
        <i/>
        <sz val="11"/>
        <color indexed="10"/>
        <rFont val="Arial Cyr"/>
        <family val="0"/>
      </rPr>
      <t xml:space="preserve">  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</t>
    </r>
  </si>
  <si>
    <r>
      <t xml:space="preserve">Перелет и трансферы Гавана - Кайо Коко и трансферы групповые от отеля до отеля OW - </t>
    </r>
    <r>
      <rPr>
        <b/>
        <i/>
        <sz val="11"/>
        <color indexed="10"/>
        <rFont val="Arial Cyr"/>
        <family val="0"/>
      </rPr>
      <t>93 долл</t>
    </r>
    <r>
      <rPr>
        <b/>
        <i/>
        <sz val="11"/>
        <rFont val="Arial Cyr"/>
        <family val="0"/>
      </rPr>
      <t xml:space="preserve">       </t>
    </r>
    <r>
      <rPr>
        <b/>
        <i/>
        <sz val="11"/>
        <color indexed="10"/>
        <rFont val="Arial Cyr"/>
        <family val="0"/>
      </rPr>
      <t xml:space="preserve">  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</t>
    </r>
  </si>
  <si>
    <r>
      <t xml:space="preserve">Перелет Ольгин-Кайо Коко и трансферы групповые от отеля до отеля на Кайо Гильермо OW - </t>
    </r>
    <r>
      <rPr>
        <b/>
        <i/>
        <sz val="11"/>
        <color indexed="10"/>
        <rFont val="Arial Cyr"/>
        <family val="0"/>
      </rPr>
      <t xml:space="preserve">74 долл </t>
    </r>
  </si>
  <si>
    <r>
      <t xml:space="preserve">Перелет Ольгин-Кайо Коко и трансферы групповые от отеля до отеля OW - </t>
    </r>
    <r>
      <rPr>
        <b/>
        <i/>
        <sz val="11"/>
        <color indexed="10"/>
        <rFont val="Arial Cyr"/>
        <family val="0"/>
      </rPr>
      <t xml:space="preserve">74 долл </t>
    </r>
    <r>
      <rPr>
        <b/>
        <i/>
        <sz val="11"/>
        <rFont val="Arial Cyr"/>
        <family val="0"/>
      </rPr>
      <t xml:space="preserve"> </t>
    </r>
  </si>
  <si>
    <r>
      <t xml:space="preserve">Перелет Гавана-Ольгин и трансферы групповые от отеля до отеля OW - </t>
    </r>
    <r>
      <rPr>
        <b/>
        <i/>
        <sz val="11"/>
        <color indexed="10"/>
        <rFont val="Arial Cyr"/>
        <family val="0"/>
      </rPr>
      <t xml:space="preserve">145 долл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   </t>
    </r>
  </si>
  <si>
    <r>
      <t xml:space="preserve">Перелет Ольгин-Кайо Коко и трансферы групповые от отеля до отеля на Кайо Коко или Кайо Гильермо OW - </t>
    </r>
    <r>
      <rPr>
        <b/>
        <i/>
        <sz val="11"/>
        <color indexed="10"/>
        <rFont val="Arial Cyr"/>
        <family val="0"/>
      </rPr>
      <t xml:space="preserve">74 долл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</t>
    </r>
  </si>
  <si>
    <r>
      <t xml:space="preserve">Перелет и трансферы Гавана-Кайо Ларго-Гавана  - </t>
    </r>
    <r>
      <rPr>
        <b/>
        <i/>
        <sz val="11"/>
        <color indexed="10"/>
        <rFont val="Arial Cyr"/>
        <family val="0"/>
      </rPr>
      <t xml:space="preserve">230 долл </t>
    </r>
    <r>
      <rPr>
        <i/>
        <sz val="11"/>
        <rFont val="Arial Cyr"/>
        <family val="2"/>
      </rPr>
      <t xml:space="preserve">                                                                                         </t>
    </r>
    <r>
      <rPr>
        <i/>
        <sz val="11"/>
        <color indexed="10"/>
        <rFont val="Arial Cyr"/>
        <family val="2"/>
      </rPr>
      <t xml:space="preserve">                 </t>
    </r>
    <r>
      <rPr>
        <i/>
        <sz val="11"/>
        <rFont val="Arial Cyr"/>
        <family val="2"/>
      </rPr>
      <t xml:space="preserve"> </t>
    </r>
  </si>
  <si>
    <r>
      <t xml:space="preserve">Перелет и трансферы Гавана-Кайо Ларго-Варадеро  - </t>
    </r>
    <r>
      <rPr>
        <b/>
        <i/>
        <sz val="11"/>
        <color indexed="10"/>
        <rFont val="Arial Cyr"/>
        <family val="0"/>
      </rPr>
      <t>230 долл</t>
    </r>
    <r>
      <rPr>
        <b/>
        <i/>
        <sz val="11"/>
        <rFont val="Arial Cyr"/>
        <family val="0"/>
      </rPr>
      <t xml:space="preserve">, Варадеро-Кайо Ларго-Варадеро  - </t>
    </r>
    <r>
      <rPr>
        <b/>
        <i/>
        <sz val="11"/>
        <color indexed="10"/>
        <rFont val="Arial Cyr"/>
        <family val="0"/>
      </rPr>
      <t xml:space="preserve">230 долл </t>
    </r>
    <r>
      <rPr>
        <i/>
        <sz val="11"/>
        <rFont val="Arial Cyr"/>
        <family val="2"/>
      </rPr>
      <t xml:space="preserve">                                                                                         </t>
    </r>
    <r>
      <rPr>
        <i/>
        <sz val="11"/>
        <color indexed="10"/>
        <rFont val="Arial Cyr"/>
        <family val="2"/>
      </rPr>
      <t xml:space="preserve">                 </t>
    </r>
    <r>
      <rPr>
        <i/>
        <sz val="11"/>
        <rFont val="Arial Cyr"/>
        <family val="2"/>
      </rPr>
      <t xml:space="preserve"> </t>
    </r>
  </si>
  <si>
    <r>
      <t xml:space="preserve">Внутренний перелёт Гавана - Кайо Cанта Мария + трансферы групповые от отеля до отеля - </t>
    </r>
    <r>
      <rPr>
        <b/>
        <i/>
        <sz val="11"/>
        <color indexed="10"/>
        <rFont val="Arial Cyr"/>
        <family val="0"/>
      </rPr>
      <t>115 долл OW</t>
    </r>
    <r>
      <rPr>
        <b/>
        <i/>
        <sz val="11"/>
        <rFont val="Arial Cyr"/>
        <family val="0"/>
      </rPr>
      <t xml:space="preserve">  (*Havanatur)    </t>
    </r>
    <r>
      <rPr>
        <b/>
        <i/>
        <sz val="11"/>
        <color indexed="10"/>
        <rFont val="Arial Cyr"/>
        <family val="0"/>
      </rPr>
      <t xml:space="preserve">  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</t>
    </r>
  </si>
  <si>
    <r>
      <t xml:space="preserve">Внутренний перелёт Гавана - Кайо Энсеначос + трансферы групповые от отеля до отеля - </t>
    </r>
    <r>
      <rPr>
        <b/>
        <i/>
        <sz val="11"/>
        <color indexed="10"/>
        <rFont val="Arial Cyr"/>
        <family val="0"/>
      </rPr>
      <t>115 долл OW</t>
    </r>
    <r>
      <rPr>
        <b/>
        <i/>
        <sz val="11"/>
        <rFont val="Arial Cyr"/>
        <family val="0"/>
      </rPr>
      <t xml:space="preserve">   (*Havanatur)                                                                                                                                             </t>
    </r>
    <r>
      <rPr>
        <b/>
        <i/>
        <sz val="11"/>
        <color indexed="10"/>
        <rFont val="Arial Cyr"/>
        <family val="0"/>
      </rPr>
      <t xml:space="preserve">  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</t>
    </r>
  </si>
  <si>
    <t xml:space="preserve">22.12.17 - 02.01.18 </t>
  </si>
  <si>
    <t>03.01.18 - 31.01.18</t>
  </si>
  <si>
    <t>ПРИ РАННЕМ БРОНИРОВАНИИ ОТЕЛЯ ДО 31.10 СКИДКА 25% (оплата должна быть произведена до 15.11)</t>
  </si>
  <si>
    <t xml:space="preserve">Минимальный срок проживания 3 ночи. В зоне Privilege размещение только для взрослых от 18 лет! </t>
  </si>
  <si>
    <t>ПРИ РАННЕМ БРОНИРОВАНИИ ОТЕЛЯ ДО 31.10 СКИДКА 20% (оплата должна быть произведена до 15.11)</t>
  </si>
  <si>
    <t>01.11.17 - 10.11.17</t>
  </si>
  <si>
    <t>11.11.17 - 21.12.17</t>
  </si>
  <si>
    <t>22.12.17 - 02.01.18</t>
  </si>
  <si>
    <t xml:space="preserve">      03.01.18 - 31.03.18</t>
  </si>
  <si>
    <t xml:space="preserve">     01.04.18 - 30.04.18</t>
  </si>
  <si>
    <t xml:space="preserve">Доплата за номер Executive - 26 долл с чел в сутки. Доплата за номера Deluxe Executive, Jr Suite Executive, Master Suite Executive под запрос </t>
  </si>
  <si>
    <r>
      <t xml:space="preserve">!!! ВНИМАНИЕ: обязательная доплата к цене за человека в номере на </t>
    </r>
    <r>
      <rPr>
        <b/>
        <i/>
        <sz val="11"/>
        <rFont val="Arial Cyr"/>
        <family val="0"/>
      </rPr>
      <t>НВ</t>
    </r>
    <r>
      <rPr>
        <i/>
        <sz val="11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 xml:space="preserve">24 декабря </t>
    </r>
    <r>
      <rPr>
        <b/>
        <i/>
        <sz val="11"/>
        <color indexed="10"/>
        <rFont val="Arial Cyr"/>
        <family val="0"/>
      </rPr>
      <t>52 $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 xml:space="preserve">65 </t>
    </r>
    <r>
      <rPr>
        <b/>
        <i/>
        <sz val="11"/>
        <color indexed="10"/>
        <rFont val="Arial Cyr"/>
        <family val="0"/>
      </rPr>
      <t xml:space="preserve">$.  </t>
    </r>
    <r>
      <rPr>
        <i/>
        <sz val="11"/>
        <rFont val="Arial Cyr"/>
        <family val="0"/>
      </rPr>
      <t>Дети до 12 лет</t>
    </r>
    <r>
      <rPr>
        <b/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 xml:space="preserve"> 26 $ и 33 $</t>
    </r>
    <r>
      <rPr>
        <b/>
        <i/>
        <sz val="11"/>
        <rFont val="Arial Cyr"/>
        <family val="0"/>
      </rPr>
      <t xml:space="preserve"> </t>
    </r>
    <r>
      <rPr>
        <i/>
        <sz val="11"/>
        <rFont val="Arial Cyr"/>
        <family val="0"/>
      </rPr>
      <t xml:space="preserve">соотвественно  </t>
    </r>
  </si>
  <si>
    <t>03.01.18 - 31.03.18</t>
  </si>
  <si>
    <r>
      <t xml:space="preserve">Отель только для взрослых от 16 лет! </t>
    </r>
    <r>
      <rPr>
        <i/>
        <sz val="11"/>
        <rFont val="Arial Cyr"/>
        <family val="0"/>
      </rPr>
      <t>Размещение 3-го взрослого в номере не допускается</t>
    </r>
  </si>
  <si>
    <t>03.01.18 - 30.04.18</t>
  </si>
  <si>
    <t>(бунгало, вторая линия пляжа, завтраки)</t>
  </si>
  <si>
    <t>Максимальное размещение: в номере Deluxe 2 взр + 2 реб, 3 взр+ 1 реб; в Suite 2 взр+1 реб, 3 взр</t>
  </si>
  <si>
    <t>(ex Breezes Varadero)</t>
  </si>
  <si>
    <t>Los Cactus</t>
  </si>
  <si>
    <t>SUITE DBL POOL VIEW</t>
  </si>
  <si>
    <t>SUITE SGL POOL VIEW</t>
  </si>
  <si>
    <t>CHD + 2 взр (до 14 лет) (в номере Suite Garden View)</t>
  </si>
  <si>
    <t>CHD + 2 взр (до 14 лет) (в номере Suite Pool View)</t>
  </si>
  <si>
    <r>
      <t xml:space="preserve">!!! ВНИМАНИЕ: обязательная доплата к цене за человека в номере 24, 25 и 31 декабря </t>
    </r>
    <r>
      <rPr>
        <i/>
        <sz val="11"/>
        <color indexed="10"/>
        <rFont val="Arial Cyr"/>
        <family val="0"/>
      </rPr>
      <t>39 $.</t>
    </r>
  </si>
  <si>
    <r>
      <t xml:space="preserve">!!! ВНИМАНИЕ: обязательная доплата к цене за человека в номере 24, 25 и 31 декабря </t>
    </r>
    <r>
      <rPr>
        <i/>
        <sz val="11"/>
        <color indexed="10"/>
        <rFont val="Arial Cyr"/>
        <family val="0"/>
      </rPr>
      <t>33 $.</t>
    </r>
  </si>
  <si>
    <t xml:space="preserve">CHD + 2 взр (до 12 лет)  </t>
  </si>
  <si>
    <t>01.11.17 - 15.04.18</t>
  </si>
  <si>
    <t>16.04.18 - 30.04.18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</si>
  <si>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33</t>
    </r>
    <r>
      <rPr>
        <b/>
        <i/>
        <sz val="11"/>
        <color indexed="10"/>
        <rFont val="Arial Cyr"/>
        <family val="0"/>
      </rPr>
      <t>$.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</si>
  <si>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60</t>
    </r>
    <r>
      <rPr>
        <b/>
        <i/>
        <sz val="11"/>
        <color indexed="10"/>
        <rFont val="Arial Cyr"/>
        <family val="0"/>
      </rPr>
      <t>$.</t>
    </r>
  </si>
  <si>
    <r>
      <t xml:space="preserve">JR SUITE DBL, </t>
    </r>
    <r>
      <rPr>
        <b/>
        <sz val="10"/>
        <rFont val="Arial Cyr"/>
        <family val="0"/>
      </rPr>
      <t>BB</t>
    </r>
  </si>
  <si>
    <r>
      <t xml:space="preserve">JR SUITE SGL, </t>
    </r>
    <r>
      <rPr>
        <b/>
        <sz val="10"/>
        <rFont val="Arial Cyr"/>
        <family val="0"/>
      </rPr>
      <t>BB</t>
    </r>
  </si>
  <si>
    <r>
      <t xml:space="preserve">EXTRA BED, </t>
    </r>
    <r>
      <rPr>
        <b/>
        <sz val="10"/>
        <rFont val="Arial Cyr"/>
        <family val="0"/>
      </rPr>
      <t>BB</t>
    </r>
  </si>
  <si>
    <t>DBL cabaña (домик)</t>
  </si>
  <si>
    <t>SGL cabaña (домик)</t>
  </si>
  <si>
    <r>
      <t xml:space="preserve">EXTRA BED, </t>
    </r>
    <r>
      <rPr>
        <b/>
        <sz val="10"/>
        <rFont val="Arial Cyr"/>
        <family val="0"/>
      </rPr>
      <t>HB</t>
    </r>
  </si>
  <si>
    <r>
      <t xml:space="preserve">DBL cabaña (домик), </t>
    </r>
    <r>
      <rPr>
        <b/>
        <sz val="10"/>
        <rFont val="Arial Cyr"/>
        <family val="0"/>
      </rPr>
      <t>HB</t>
    </r>
  </si>
  <si>
    <r>
      <t xml:space="preserve">SGL cabaña (домик), </t>
    </r>
    <r>
      <rPr>
        <b/>
        <sz val="10"/>
        <rFont val="Arial Cyr"/>
        <family val="0"/>
      </rPr>
      <t>HB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</si>
  <si>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26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$.</t>
    </r>
  </si>
  <si>
    <r>
      <rPr>
        <i/>
        <sz val="11"/>
        <rFont val="Arial Cyr"/>
        <family val="0"/>
      </rPr>
      <t>О</t>
    </r>
    <r>
      <rPr>
        <i/>
        <sz val="11"/>
        <color indexed="8"/>
        <rFont val="Arial Cyr"/>
        <family val="0"/>
      </rPr>
      <t xml:space="preserve">бязательная доплата </t>
    </r>
    <r>
      <rPr>
        <i/>
        <sz val="11"/>
        <color indexed="10"/>
        <rFont val="Arial Cyr"/>
        <family val="0"/>
      </rPr>
      <t>24, 25</t>
    </r>
    <r>
      <rPr>
        <i/>
        <sz val="11"/>
        <color indexed="8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color indexed="8"/>
        <rFont val="Arial Cyr"/>
        <family val="0"/>
      </rPr>
      <t xml:space="preserve"> декабря на человека в номере </t>
    </r>
    <r>
      <rPr>
        <b/>
        <i/>
        <sz val="11"/>
        <color indexed="10"/>
        <rFont val="Arial Cyr"/>
        <family val="0"/>
      </rPr>
      <t>33 $</t>
    </r>
    <r>
      <rPr>
        <i/>
        <sz val="11"/>
        <color indexed="8"/>
        <rFont val="Arial Cyr"/>
        <family val="0"/>
      </rPr>
      <t xml:space="preserve">.  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</si>
  <si>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20</t>
    </r>
    <r>
      <rPr>
        <b/>
        <i/>
        <sz val="11"/>
        <color indexed="10"/>
        <rFont val="Arial Cyr"/>
        <family val="0"/>
      </rPr>
      <t>$.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</si>
  <si>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26</t>
    </r>
    <r>
      <rPr>
        <b/>
        <i/>
        <sz val="11"/>
        <color indexed="10"/>
        <rFont val="Arial Cyr"/>
        <family val="0"/>
      </rPr>
      <t>$.</t>
    </r>
  </si>
  <si>
    <t xml:space="preserve">   16.04.18 - 30.04.18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</si>
  <si>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26</t>
    </r>
    <r>
      <rPr>
        <b/>
        <i/>
        <sz val="11"/>
        <color indexed="10"/>
        <rFont val="Arial Cyr"/>
        <family val="0"/>
      </rPr>
      <t xml:space="preserve">$.  </t>
    </r>
    <r>
      <rPr>
        <i/>
        <sz val="11"/>
        <rFont val="Arial Cyr"/>
        <family val="0"/>
      </rPr>
      <t>Дети до 12 лет</t>
    </r>
    <r>
      <rPr>
        <b/>
        <i/>
        <sz val="11"/>
        <color indexed="10"/>
        <rFont val="Arial Cyr"/>
        <family val="0"/>
      </rPr>
      <t xml:space="preserve"> 13$ </t>
    </r>
  </si>
  <si>
    <t>Comodoro  Bungalow Pleamar</t>
  </si>
  <si>
    <t>1 Bedroom DBL</t>
  </si>
  <si>
    <t>1 Bedroom SGL</t>
  </si>
  <si>
    <r>
      <t>2 Bedroom (</t>
    </r>
    <r>
      <rPr>
        <b/>
        <sz val="9"/>
        <rFont val="Arial Cyr"/>
        <family val="0"/>
      </rPr>
      <t>цена за номер</t>
    </r>
    <r>
      <rPr>
        <sz val="9"/>
        <rFont val="Arial Cyr"/>
        <family val="0"/>
      </rPr>
      <t>)</t>
    </r>
  </si>
  <si>
    <r>
      <t>2 Bedroom (</t>
    </r>
    <r>
      <rPr>
        <b/>
        <sz val="10"/>
        <rFont val="Arial Cyr"/>
        <family val="0"/>
      </rPr>
      <t>цена за номер</t>
    </r>
    <r>
      <rPr>
        <sz val="10"/>
        <rFont val="Arial Cyr"/>
        <family val="0"/>
      </rPr>
      <t>)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</si>
  <si>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26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 xml:space="preserve">$.  </t>
    </r>
    <r>
      <rPr>
        <i/>
        <sz val="11"/>
        <rFont val="Arial Cyr"/>
        <family val="0"/>
      </rPr>
      <t>Дети до 12 лет</t>
    </r>
    <r>
      <rPr>
        <b/>
        <i/>
        <sz val="11"/>
        <color indexed="10"/>
        <rFont val="Arial Cyr"/>
        <family val="0"/>
      </rPr>
      <t xml:space="preserve"> 13 $ </t>
    </r>
  </si>
  <si>
    <t>01.02.18 - 30.04.18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</si>
  <si>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 и 31</t>
    </r>
    <r>
      <rPr>
        <i/>
        <sz val="11"/>
        <rFont val="Arial Cyr"/>
        <family val="0"/>
      </rPr>
      <t xml:space="preserve"> декабря по </t>
    </r>
    <r>
      <rPr>
        <b/>
        <i/>
        <sz val="11"/>
        <color indexed="10"/>
        <rFont val="Arial Cyr"/>
        <family val="0"/>
      </rPr>
      <t>33 долл</t>
    </r>
    <r>
      <rPr>
        <i/>
        <sz val="11"/>
        <rFont val="Arial Cyr"/>
        <family val="0"/>
      </rPr>
      <t xml:space="preserve">.  </t>
    </r>
  </si>
  <si>
    <t>Playa de Oro 4*</t>
  </si>
  <si>
    <t>Max размещение в номерах Bungalow Superior 3 взр, 2 взр+1 реб; в номере Bungalow Suite 3 взр, 2 взр+2 реб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</si>
  <si>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 xml:space="preserve">24, 25 </t>
    </r>
    <r>
      <rPr>
        <i/>
        <sz val="11"/>
        <rFont val="Arial Cyr"/>
        <family val="2"/>
      </rPr>
      <t xml:space="preserve">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2"/>
      </rPr>
      <t xml:space="preserve">декабря по </t>
    </r>
    <r>
      <rPr>
        <b/>
        <i/>
        <sz val="11"/>
        <color indexed="10"/>
        <rFont val="Arial Cyr"/>
        <family val="0"/>
      </rPr>
      <t>16 $</t>
    </r>
    <r>
      <rPr>
        <i/>
        <sz val="11"/>
        <rFont val="Arial Cyr"/>
        <family val="2"/>
      </rPr>
      <t xml:space="preserve">. 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</si>
  <si>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</t>
    </r>
    <r>
      <rPr>
        <i/>
        <sz val="11"/>
        <rFont val="Arial Cyr"/>
        <family val="2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rFont val="Arial Cyr"/>
        <family val="2"/>
      </rPr>
      <t xml:space="preserve"> декабря по </t>
    </r>
    <r>
      <rPr>
        <b/>
        <i/>
        <sz val="11"/>
        <color indexed="10"/>
        <rFont val="Arial Cyr"/>
        <family val="0"/>
      </rPr>
      <t>16 $</t>
    </r>
    <r>
      <rPr>
        <i/>
        <sz val="11"/>
        <rFont val="Arial Cyr"/>
        <family val="2"/>
      </rPr>
      <t xml:space="preserve">. 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</si>
  <si>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</t>
    </r>
    <r>
      <rPr>
        <i/>
        <sz val="11"/>
        <rFont val="Arial Cyr"/>
        <family val="2"/>
      </rPr>
      <t xml:space="preserve"> 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2"/>
      </rPr>
      <t xml:space="preserve">декабря по </t>
    </r>
    <r>
      <rPr>
        <b/>
        <i/>
        <sz val="11"/>
        <color indexed="10"/>
        <rFont val="Arial Cyr"/>
        <family val="0"/>
      </rPr>
      <t>13 $</t>
    </r>
    <r>
      <rPr>
        <i/>
        <sz val="11"/>
        <rFont val="Arial Cyr"/>
        <family val="2"/>
      </rPr>
      <t xml:space="preserve">. 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</si>
  <si>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2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color indexed="8"/>
        <rFont val="Arial Cyr"/>
        <family val="2"/>
      </rPr>
      <t xml:space="preserve"> декабря по </t>
    </r>
    <r>
      <rPr>
        <i/>
        <sz val="11"/>
        <color indexed="10"/>
        <rFont val="Arial Cyr"/>
        <family val="0"/>
      </rPr>
      <t xml:space="preserve">52 </t>
    </r>
    <r>
      <rPr>
        <i/>
        <sz val="11"/>
        <color indexed="8"/>
        <rFont val="Arial Cyr"/>
        <family val="2"/>
      </rPr>
      <t xml:space="preserve">долл.  Дети от 2 до 12 лет по </t>
    </r>
    <r>
      <rPr>
        <i/>
        <sz val="11"/>
        <color indexed="10"/>
        <rFont val="Arial Cyr"/>
        <family val="0"/>
      </rPr>
      <t>26</t>
    </r>
    <r>
      <rPr>
        <i/>
        <sz val="11"/>
        <color indexed="10"/>
        <rFont val="Arial Cyr"/>
        <family val="0"/>
      </rPr>
      <t xml:space="preserve"> </t>
    </r>
    <r>
      <rPr>
        <i/>
        <sz val="11"/>
        <color indexed="8"/>
        <rFont val="Arial Cyr"/>
        <family val="2"/>
      </rPr>
      <t xml:space="preserve">долл. </t>
    </r>
  </si>
  <si>
    <r>
      <t>PRESIDENTIAL SUITE  (</t>
    </r>
    <r>
      <rPr>
        <b/>
        <sz val="10"/>
        <color indexed="8"/>
        <rFont val="Arial Cyr"/>
        <family val="0"/>
      </rPr>
      <t>за номер</t>
    </r>
    <r>
      <rPr>
        <sz val="10"/>
        <color indexed="8"/>
        <rFont val="Arial Cyr"/>
        <family val="0"/>
      </rPr>
      <t>)</t>
    </r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</si>
  <si>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31 декабря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>65 $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>35 $</t>
    </r>
  </si>
  <si>
    <t>ПРИ РАННЕМ БРОНИРОВАНИИ ОТЕЛЯ ДО 31.10.16 СКИДКА 12% С ЧЕЛ В DBL (оплата должна быть произведена до 15.11.17)</t>
  </si>
  <si>
    <t>DBL ELITE OCEAN  VIEW</t>
  </si>
  <si>
    <t>SGL ELITE OCEAN  VIEW</t>
  </si>
  <si>
    <t>SUITE DBL ELITE</t>
  </si>
  <si>
    <t>SUITE SGL ELITE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</si>
  <si>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31 декабря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>65 $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 xml:space="preserve">33 $  </t>
    </r>
  </si>
  <si>
    <t>первый реб. (от 2 до 12 лет)</t>
  </si>
  <si>
    <t>второй и третий реб. (от 2 до 12 лет)</t>
  </si>
  <si>
    <t xml:space="preserve">В номерах Стандарт и Стандарт Ocean View max 2 взр+1 реб; в номере Familiar min 2 взр+2 реб, 3 взр+1 реб, max 2 взр+3 реб; в номерах Jr Suite и Elite max 2 взр!  </t>
  </si>
  <si>
    <t>FAMILIAR (первый-третий взр)</t>
  </si>
  <si>
    <t>ПРИ РАННЕМ БРОНИРОВАНИИ ОТЕЛЯ ДО 30.09.17 СКИДКА 20% С ЧЕЛ В DBL (оплата должна быть произведена до 15.10.17) (исключая номер Familiar)</t>
  </si>
  <si>
    <t>ПРИ РАННЕМ БРОНИРОВАНИИ ОТЕЛЯ ДО 31.10.17 НА ПЕРИОД С 03.01.18 ПО 30.04.18 СКИДКА 20% С ЧЕЛ В DBL (оплата должна быть произведена до 15.11.17) (исключая номер Familiar)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</si>
  <si>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31 декабря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>52 $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>26 $</t>
    </r>
  </si>
  <si>
    <t xml:space="preserve">ПРИ РАННЕМ БРОНИРОВАНИИ ОТЕЛЯ ДО 30.09.17 НА ПЕРИОД С 01.11.17 ПО 02.01.18 СКИДКА 12% С ЧЕЛ В DBL (оплата должна быть произведена до 15.10.17) </t>
  </si>
  <si>
    <t>ПРИ РАННЕМ БРОНИРОВАНИИ ОТЕЛЯ ДО 31.10.17 НА ПЕРИОД С 03.01.18 ПО 30.04.18 СКИДКА 15% С ЧЕЛ В DBL (оплата должна быть произведена до 15.11.17)</t>
  </si>
  <si>
    <r>
      <t xml:space="preserve">22.12.17 - 02.01.18 </t>
    </r>
  </si>
  <si>
    <t>Доплата за номер Ocean View - 26 долл за номер в сутки, за Executive Floor - 65 долл за номер в сутки.</t>
  </si>
  <si>
    <t>Доплата за номер Ocean View - 13 долл за номер в сутки, за Superior Room - 26 долл за номер в сутки.</t>
  </si>
  <si>
    <t>Доплата за номер Superior Room - 26 долл за номер в сутки.</t>
  </si>
  <si>
    <t>Villa Tropico</t>
  </si>
  <si>
    <t xml:space="preserve">01.11.17 - 30.04.18 </t>
  </si>
  <si>
    <t>Raquel 4 *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</si>
  <si>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01.11-10.11,</t>
    </r>
    <r>
      <rPr>
        <i/>
        <sz val="11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 xml:space="preserve">24.12, 25.12, 31.12, 25.03-31.03 - </t>
    </r>
    <r>
      <rPr>
        <b/>
        <i/>
        <sz val="11"/>
        <color indexed="10"/>
        <rFont val="Arial Cyr"/>
        <family val="0"/>
      </rPr>
      <t xml:space="preserve">33 $.  </t>
    </r>
    <r>
      <rPr>
        <i/>
        <sz val="11"/>
        <rFont val="Arial Cyr"/>
        <family val="0"/>
      </rPr>
      <t xml:space="preserve"> </t>
    </r>
  </si>
  <si>
    <t>SUITE  DBL (в отеле Florida)</t>
  </si>
  <si>
    <t>SUITE  SGL (в отеле Florida)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</si>
  <si>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31 декабря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>57 $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 xml:space="preserve">29 $  </t>
    </r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</si>
  <si>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31 декабря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>57 $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>29 $</t>
    </r>
  </si>
  <si>
    <t xml:space="preserve">ПРИ РАННЕМ БРОНИРОВАНИИ ОТЕЛЯ ДО 30.09.17 СКИДКА 20% С ЧЕЛ В DBL (оплата должна быть произведена до 15.10.17)  </t>
  </si>
  <si>
    <t xml:space="preserve">ПРИ РАННЕМ БРОНИРОВАНИИ ОТЕЛЯ ДО 30.09.17 СКИДКА 18% С ЧЕЛ В DBL (оплата должна быть произведена до 15.10.17)  </t>
  </si>
  <si>
    <t xml:space="preserve">ПРИ РАННЕМ БРОНИРОВАНИИ ОТЕЛЯ ДО 31.10.17 НА ПЕРИОД С 03.01.18 ПО 30.04.18 СКИДКА 18% С ЧЕЛ В DBL (оплата должна быть произведена до 15.11.17) </t>
  </si>
  <si>
    <t>Tulipan</t>
  </si>
  <si>
    <t xml:space="preserve">San Alejandro </t>
  </si>
  <si>
    <t>Colina</t>
  </si>
  <si>
    <t xml:space="preserve">Lincoln </t>
  </si>
  <si>
    <t xml:space="preserve">Lido  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</si>
  <si>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rFont val="Arial Cyr"/>
        <family val="0"/>
      </rPr>
      <t xml:space="preserve"> декабря по </t>
    </r>
    <r>
      <rPr>
        <b/>
        <i/>
        <sz val="11"/>
        <color indexed="10"/>
        <rFont val="Arial Cyr"/>
        <family val="0"/>
      </rPr>
      <t xml:space="preserve">16 $. </t>
    </r>
    <r>
      <rPr>
        <i/>
        <sz val="11"/>
        <rFont val="Arial Cyr"/>
        <family val="0"/>
      </rPr>
      <t xml:space="preserve"> </t>
    </r>
  </si>
  <si>
    <t>Доплата за ужин 16 долл</t>
  </si>
  <si>
    <r>
      <t xml:space="preserve">!!! ВНИМАНИЕ: обязательная доплата 24, 25 и 31 декабря  </t>
    </r>
    <r>
      <rPr>
        <b/>
        <i/>
        <sz val="11"/>
        <color indexed="10"/>
        <rFont val="Arial Cyr"/>
        <family val="0"/>
      </rPr>
      <t xml:space="preserve">16 $ </t>
    </r>
    <r>
      <rPr>
        <i/>
        <sz val="11"/>
        <rFont val="Arial Cyr"/>
        <family val="0"/>
      </rPr>
      <t xml:space="preserve">на </t>
    </r>
    <r>
      <rPr>
        <i/>
        <sz val="11"/>
        <rFont val="Arial Cyr"/>
        <family val="2"/>
      </rPr>
      <t xml:space="preserve">человека </t>
    </r>
  </si>
  <si>
    <r>
      <t xml:space="preserve">!!! ВНИМАНИЕ: обязательная доплата </t>
    </r>
    <r>
      <rPr>
        <b/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2"/>
      </rPr>
      <t xml:space="preserve">и </t>
    </r>
    <r>
      <rPr>
        <b/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2"/>
      </rPr>
      <t xml:space="preserve">декабря </t>
    </r>
    <r>
      <rPr>
        <b/>
        <i/>
        <sz val="11"/>
        <color indexed="10"/>
        <rFont val="Arial Cyr"/>
        <family val="0"/>
      </rPr>
      <t xml:space="preserve">+ 72 $ </t>
    </r>
    <r>
      <rPr>
        <i/>
        <sz val="11"/>
        <rFont val="Arial Cyr"/>
        <family val="2"/>
      </rPr>
      <t xml:space="preserve">с человека. Дети до 12 лет </t>
    </r>
    <r>
      <rPr>
        <b/>
        <i/>
        <sz val="11"/>
        <color indexed="10"/>
        <rFont val="Arial Cyr"/>
        <family val="0"/>
      </rPr>
      <t>36 $</t>
    </r>
    <r>
      <rPr>
        <i/>
        <sz val="11"/>
        <rFont val="Arial Cyr"/>
        <family val="2"/>
      </rPr>
      <t xml:space="preserve">  </t>
    </r>
  </si>
  <si>
    <t>ПРИ РАННЕМ БРОНИРОВАНИИ ОТЕЛЯ ДО 31.10.17 НА ПЕРИОД С 03.01.18 ПО 30.04.18 СКИДКА 25% С ЧЕЛ В DBL (оплата должна быть произведена до 15.11.17) (исключая extra Bed в Family Grand Village)</t>
  </si>
  <si>
    <t>ПРИ РАННЕМ БРОНИРОВАНИИ ОТЕЛЯ ДО 30.09.17 СКИДКА 25% С ЧЕЛ В DBL (оплата должна быть произведена до 15.10.17) (исключая extra Bed в Family Grand Village)</t>
  </si>
  <si>
    <t>SUITE SWIM OUT SGL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</si>
  <si>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24 и 31 декабря на человека </t>
    </r>
    <r>
      <rPr>
        <b/>
        <i/>
        <sz val="11"/>
        <color indexed="10"/>
        <rFont val="Arial Cyr"/>
        <family val="0"/>
      </rPr>
      <t>65 $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>33 $</t>
    </r>
  </si>
  <si>
    <t>ПРИ РАННЕМ БРОНИРОВАНИИ ОТЕЛЯ ДО 30.09.17 СКИДКА 25% С ЧЕЛ В DBL (оплата должна быть произведена до 15.10.17) (исключая Extra Bed и подростков в Familiar)</t>
  </si>
  <si>
    <t>ПРИ РАННЕМ БРОНИРОВАНИИ ОТЕЛЯ ДО 31.10.17 НА ПЕРИОД С 03.01.18 ПО 30.04.18 СКИДКА 25% С ЧЕЛ В DBL (оплата должна быть произведена до 15.11.17) (исключая Extra Bed и подростков в Familiar)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</si>
  <si>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 24 и 31 декабря на человека </t>
    </r>
    <r>
      <rPr>
        <b/>
        <i/>
        <sz val="11"/>
        <color indexed="10"/>
        <rFont val="Arial Cyr"/>
        <family val="0"/>
      </rPr>
      <t>52</t>
    </r>
    <r>
      <rPr>
        <b/>
        <i/>
        <sz val="11"/>
        <color indexed="10"/>
        <rFont val="Arial Cyr"/>
        <family val="0"/>
      </rPr>
      <t>$</t>
    </r>
    <r>
      <rPr>
        <i/>
        <sz val="11"/>
        <color indexed="8"/>
        <rFont val="Arial Cyr"/>
        <family val="0"/>
      </rPr>
      <t xml:space="preserve">.  Дети до 12 лет </t>
    </r>
    <r>
      <rPr>
        <b/>
        <i/>
        <sz val="11"/>
        <color indexed="10"/>
        <rFont val="Arial Cyr"/>
        <family val="0"/>
      </rPr>
      <t>26</t>
    </r>
    <r>
      <rPr>
        <b/>
        <i/>
        <sz val="11"/>
        <color indexed="10"/>
        <rFont val="Arial Cyr"/>
        <family val="0"/>
      </rPr>
      <t>$    *</t>
    </r>
    <r>
      <rPr>
        <i/>
        <sz val="11"/>
        <rFont val="Arial Cyr"/>
        <family val="0"/>
      </rPr>
      <t>В номере Superior Ocean View max 2 взр.</t>
    </r>
  </si>
  <si>
    <t xml:space="preserve">ПРИ РАННЕМ БРОНИРОВАНИИ ОТЕЛЯ ДО 31.10.17 НА ПЕРИОД С 03.01.18 ПО 30.04.18 СКИДКА 15% С ЧЕЛ В DBL (оплата должна быть произведена до 15.11.17)  </t>
  </si>
  <si>
    <t xml:space="preserve">ПРИ РАННЕМ БРОНИРОВАНИИ ОТЕЛЯ ДО 31.10.17 НА ПЕРИОД С 03.01.18 ПО 30.04.18 СКИДКА 20% С ЧЕЛ В DBL (оплата должна быть произведена до 15.11.17)  </t>
  </si>
  <si>
    <t xml:space="preserve">ПРИ РАННЕМ БРОНИРОВАНИИ ОТЕЛЯ ДО 30.09.17 СКИДКА 15% С ЧЕЛ В DBL (оплата должна быть произведена до 15.10.17)  </t>
  </si>
  <si>
    <t>Habana Riviera</t>
  </si>
  <si>
    <t xml:space="preserve">      01.04.18 - 30.04.18</t>
  </si>
  <si>
    <r>
      <t>Доплата за Panoramic View Dbl - 7 $  с человека в сутки, за номер  Elite Dbl - 46 $ с человека в сутки,  за Elite Jr Suite Dbl - 59</t>
    </r>
    <r>
      <rPr>
        <b/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>$ c человека в сутки</t>
    </r>
  </si>
  <si>
    <r>
      <t xml:space="preserve">!!! ВНИМАНИЕ: обязательная доплата к цене за человека в номере на </t>
    </r>
    <r>
      <rPr>
        <b/>
        <i/>
        <sz val="11"/>
        <rFont val="Arial Cyr"/>
        <family val="0"/>
      </rPr>
      <t>НВ</t>
    </r>
    <r>
      <rPr>
        <i/>
        <sz val="11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 xml:space="preserve">24 и 31 декабря </t>
    </r>
    <r>
      <rPr>
        <b/>
        <i/>
        <sz val="11"/>
        <color indexed="10"/>
        <rFont val="Arial Cyr"/>
        <family val="0"/>
      </rPr>
      <t xml:space="preserve">65 $ </t>
    </r>
  </si>
  <si>
    <r>
      <t xml:space="preserve">!!! ВНИМАНИЕ: при </t>
    </r>
    <r>
      <rPr>
        <b/>
        <i/>
        <sz val="11"/>
        <rFont val="Arial Cyr"/>
        <family val="0"/>
      </rPr>
      <t>HB</t>
    </r>
    <r>
      <rPr>
        <i/>
        <sz val="11"/>
        <rFont val="Arial Cyr"/>
        <family val="0"/>
      </rPr>
      <t xml:space="preserve"> обязательная доплата к цене за человека в номере </t>
    </r>
    <r>
      <rPr>
        <i/>
        <sz val="11"/>
        <color indexed="10"/>
        <rFont val="Arial Cyr"/>
        <family val="0"/>
      </rPr>
      <t xml:space="preserve">24 и 31 декабря </t>
    </r>
    <r>
      <rPr>
        <i/>
        <sz val="11"/>
        <rFont val="Arial Cyr"/>
        <family val="0"/>
      </rPr>
      <t>по</t>
    </r>
    <r>
      <rPr>
        <i/>
        <sz val="11"/>
        <color indexed="10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 xml:space="preserve">72 $.  </t>
    </r>
    <r>
      <rPr>
        <i/>
        <sz val="11"/>
        <rFont val="Arial Cyr"/>
        <family val="0"/>
      </rPr>
      <t>Дети до 12 лет</t>
    </r>
    <r>
      <rPr>
        <b/>
        <i/>
        <sz val="11"/>
        <rFont val="Arial Cyr"/>
        <family val="0"/>
      </rPr>
      <t xml:space="preserve"> </t>
    </r>
    <r>
      <rPr>
        <i/>
        <sz val="11"/>
        <rFont val="Arial Cyr"/>
        <family val="0"/>
      </rPr>
      <t>по</t>
    </r>
    <r>
      <rPr>
        <b/>
        <i/>
        <sz val="11"/>
        <color indexed="10"/>
        <rFont val="Arial Cyr"/>
        <family val="0"/>
      </rPr>
      <t xml:space="preserve"> 36 $</t>
    </r>
    <r>
      <rPr>
        <i/>
        <sz val="11"/>
        <rFont val="Arial Cyr"/>
        <family val="0"/>
      </rPr>
      <t xml:space="preserve">  </t>
    </r>
  </si>
  <si>
    <t xml:space="preserve">Std Moderno, Jr Suite Moderno, Std Colonial, Std Park View - проживание минимум 3 ночи (если combi c другим отелем Iberostar в туре), 5 ночей если только этот отель </t>
  </si>
  <si>
    <t>Остальные категории номеров - проживание минимум 2 ночи</t>
  </si>
  <si>
    <t xml:space="preserve">   01.02.18 - 30.04.18</t>
  </si>
  <si>
    <r>
      <t>Доплата за Duplex Dbl - 65 $  с чел в сутки, за номер  Jr Suite Dbl - 91 $ с чел в сутки,  за Suite Dbl - 130</t>
    </r>
    <r>
      <rPr>
        <b/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>$ c чел в сутки</t>
    </r>
  </si>
  <si>
    <r>
      <t>Доплата за Dbl Ocean View - 13 $  с чел в сутки, за номер  Privillege Dbl - 33 $ с чел в сутки,  за Privillege Ocean View Dbl - 46</t>
    </r>
    <r>
      <rPr>
        <b/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>$ c чел в сутки,  за Privillege Suite Dbl - 72 $ c чел в сутки</t>
    </r>
  </si>
  <si>
    <r>
      <t xml:space="preserve">!!! ВНИМАНИЕ: при HB обязательная доплата к цене за человека в номере </t>
    </r>
    <r>
      <rPr>
        <i/>
        <sz val="11"/>
        <color indexed="10"/>
        <rFont val="Arial Cyr"/>
        <family val="0"/>
      </rPr>
      <t xml:space="preserve">24 декабря </t>
    </r>
    <r>
      <rPr>
        <i/>
        <sz val="11"/>
        <rFont val="Arial Cyr"/>
        <family val="0"/>
      </rPr>
      <t>по</t>
    </r>
    <r>
      <rPr>
        <i/>
        <sz val="11"/>
        <color indexed="10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52 долл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 декабря</t>
    </r>
    <r>
      <rPr>
        <i/>
        <sz val="11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 xml:space="preserve">72 долл.  </t>
    </r>
    <r>
      <rPr>
        <i/>
        <sz val="11"/>
        <rFont val="Arial Cyr"/>
        <family val="0"/>
      </rPr>
      <t>Дети до 12 лет по</t>
    </r>
    <r>
      <rPr>
        <b/>
        <i/>
        <sz val="11"/>
        <color indexed="10"/>
        <rFont val="Arial Cyr"/>
        <family val="0"/>
      </rPr>
      <t xml:space="preserve"> 26 долл </t>
    </r>
    <r>
      <rPr>
        <i/>
        <sz val="11"/>
        <rFont val="Arial Cyr"/>
        <family val="0"/>
      </rPr>
      <t>и</t>
    </r>
    <r>
      <rPr>
        <b/>
        <i/>
        <sz val="11"/>
        <color indexed="10"/>
        <rFont val="Arial Cyr"/>
        <family val="0"/>
      </rPr>
      <t xml:space="preserve"> 36 долл </t>
    </r>
    <r>
      <rPr>
        <i/>
        <sz val="11"/>
        <rFont val="Arial Cyr"/>
        <family val="0"/>
      </rPr>
      <t xml:space="preserve">соотвественно  </t>
    </r>
  </si>
  <si>
    <r>
      <t xml:space="preserve">!!! ВНИМАНИЕ: </t>
    </r>
    <r>
      <rPr>
        <i/>
        <u val="single"/>
        <sz val="11"/>
        <rFont val="Arial Cyr"/>
        <family val="0"/>
      </rPr>
      <t>обязательная</t>
    </r>
    <r>
      <rPr>
        <i/>
        <sz val="11"/>
        <rFont val="Arial Cyr"/>
        <family val="0"/>
      </rPr>
      <t xml:space="preserve"> доплата за праздничный ужин </t>
    </r>
    <r>
      <rPr>
        <i/>
        <sz val="11"/>
        <color indexed="10"/>
        <rFont val="Arial Cyr"/>
        <family val="0"/>
      </rPr>
      <t xml:space="preserve">24 декабря </t>
    </r>
    <r>
      <rPr>
        <b/>
        <i/>
        <sz val="11"/>
        <color indexed="10"/>
        <rFont val="Arial Cyr"/>
        <family val="0"/>
      </rPr>
      <t>78 $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 xml:space="preserve">98 $.  </t>
    </r>
    <r>
      <rPr>
        <i/>
        <sz val="11"/>
        <rFont val="Arial Cyr"/>
        <family val="0"/>
      </rPr>
      <t>Дети до 12 лет</t>
    </r>
    <r>
      <rPr>
        <b/>
        <i/>
        <sz val="11"/>
        <rFont val="Arial Cyr"/>
        <family val="0"/>
      </rPr>
      <t xml:space="preserve">  - </t>
    </r>
    <r>
      <rPr>
        <b/>
        <i/>
        <sz val="11"/>
        <color indexed="10"/>
        <rFont val="Arial Cyr"/>
        <family val="0"/>
      </rPr>
      <t xml:space="preserve"> 39 $ </t>
    </r>
    <r>
      <rPr>
        <i/>
        <sz val="11"/>
        <rFont val="Arial Cyr"/>
        <family val="0"/>
      </rPr>
      <t>и</t>
    </r>
    <r>
      <rPr>
        <b/>
        <i/>
        <sz val="11"/>
        <color indexed="10"/>
        <rFont val="Arial Cyr"/>
        <family val="0"/>
      </rPr>
      <t xml:space="preserve"> 49 $</t>
    </r>
    <r>
      <rPr>
        <b/>
        <i/>
        <sz val="11"/>
        <rFont val="Arial Cyr"/>
        <family val="0"/>
      </rPr>
      <t xml:space="preserve"> </t>
    </r>
    <r>
      <rPr>
        <i/>
        <sz val="11"/>
        <rFont val="Arial Cyr"/>
        <family val="0"/>
      </rPr>
      <t xml:space="preserve">соотвественно  </t>
    </r>
  </si>
  <si>
    <t>Gran Hotel Manzana Kempinski</t>
  </si>
  <si>
    <t>PATIO  DBL</t>
  </si>
  <si>
    <t>PATIO  SGL</t>
  </si>
  <si>
    <t xml:space="preserve">НОВЫЙ </t>
  </si>
  <si>
    <t>GRAND DELUXE DBL</t>
  </si>
  <si>
    <t>GRAND DELUXE SGL</t>
  </si>
  <si>
    <t>HAMINGUEY JR SUITE DBL</t>
  </si>
  <si>
    <t>HAMINGUEY JR SUITE SGL</t>
  </si>
  <si>
    <t xml:space="preserve">JR SUITE DBL CONSTANTE </t>
  </si>
  <si>
    <t>FAMILY SUITE DBL</t>
  </si>
  <si>
    <t>SUITE MEZZANINE DBL</t>
  </si>
  <si>
    <t>SUITE MEZZANINE SGL</t>
  </si>
  <si>
    <t>SUITE ESQUINA DBL</t>
  </si>
  <si>
    <t>SUITE ESQUINA SGL</t>
  </si>
  <si>
    <t>CHD + 2 взр (от 0 до 5 лет)</t>
  </si>
  <si>
    <t>CHD + 2 взр (от 6 до 12 лет)</t>
  </si>
  <si>
    <t>Максимальное размещение: Patio и Deluxe - 2 взр, остальные категории номеров - 2 взр+1 реб или 3 взр</t>
  </si>
  <si>
    <t>11.11.17 - 22.12.17</t>
  </si>
  <si>
    <t>06.01.18 - 24.03.18</t>
  </si>
  <si>
    <t>02.04.18 - 30.04.18</t>
  </si>
  <si>
    <t>23.12.17 - 05.01.18</t>
  </si>
  <si>
    <t>25.03.18 - 01.04.18</t>
  </si>
  <si>
    <t>EP</t>
  </si>
  <si>
    <t>Минимальное количество проживания в высокий сезон - 2 ночи. ЕР - без питания!</t>
  </si>
  <si>
    <r>
      <t>Доплата за Deluxe Laguna View Dbl - 7 $  с чел в сутки, за Deluxe Front Ocean View Dbl - 26 $ с чел в сутки, за Jr Suite Dbl - 95</t>
    </r>
    <r>
      <rPr>
        <b/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>$ c чел в сутки</t>
    </r>
  </si>
  <si>
    <t>ПРИ РАННЕМ БРОНИРОВАНИИ ОТЕЛЯ ДО 30.11 НА ПЕРИОД С 01.12.17 ПО 30.04.18 СКИДКА 20%  (оплата должна быть произведена до 15.12)</t>
  </si>
  <si>
    <t>ПРИ РАННЕМ БРОНИРОВАНИИ ОТЕЛЯ ДО 30.11 НА ПЕРИОД С 01.12.17 ПО 30.04.18 СКИДКА 15%  (оплата должна быть произведена до 15.12)</t>
  </si>
  <si>
    <t xml:space="preserve">    22.12.17 - 02.01.18 </t>
  </si>
  <si>
    <t xml:space="preserve">      03.01.18 - 31.01.18</t>
  </si>
  <si>
    <t>Sercotel Experience Cayo Santa Maria</t>
  </si>
  <si>
    <t>SUPERIOR DBL</t>
  </si>
  <si>
    <t>SUPERIOR SGL</t>
  </si>
  <si>
    <t>SUPERIOR OCEAN VIEW DBL</t>
  </si>
  <si>
    <t>SUPERIOR OCEAN VIEW SGL</t>
  </si>
  <si>
    <t>ПРИ РАННЕМ БРОНИРОВАНИИ ОТЕЛЯ ДО 31.10 СКИДКА 10% (оплата должна быть произведена до 25.12)</t>
  </si>
  <si>
    <r>
      <t xml:space="preserve">!!! ВНИМАНИЕ: обязательная доплата  </t>
    </r>
    <r>
      <rPr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0"/>
      </rPr>
      <t xml:space="preserve">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0"/>
      </rPr>
      <t xml:space="preserve">декабря </t>
    </r>
    <r>
      <rPr>
        <i/>
        <sz val="11"/>
        <color indexed="10"/>
        <rFont val="Arial Cyr"/>
        <family val="0"/>
      </rPr>
      <t xml:space="preserve">52 </t>
    </r>
    <r>
      <rPr>
        <i/>
        <sz val="11"/>
        <rFont val="Arial Cyr"/>
        <family val="0"/>
      </rPr>
      <t>долл c чел</t>
    </r>
  </si>
  <si>
    <r>
      <t xml:space="preserve">!!! ВНИМАНИЕ: обязательная доплата </t>
    </r>
    <r>
      <rPr>
        <i/>
        <sz val="11"/>
        <color indexed="10"/>
        <rFont val="Arial Cyr"/>
        <family val="0"/>
      </rPr>
      <t>24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rFont val="Arial Cyr"/>
        <family val="0"/>
      </rPr>
      <t xml:space="preserve"> декабря на человека в номере  </t>
    </r>
    <r>
      <rPr>
        <b/>
        <i/>
        <sz val="11"/>
        <color indexed="10"/>
        <rFont val="Arial Cyr"/>
        <family val="0"/>
      </rPr>
      <t>33 доллара.</t>
    </r>
    <r>
      <rPr>
        <b/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>Дети до 12 лет по</t>
    </r>
    <r>
      <rPr>
        <b/>
        <i/>
        <sz val="11"/>
        <color indexed="10"/>
        <rFont val="Arial Cyr"/>
        <family val="0"/>
      </rPr>
      <t xml:space="preserve"> 16 долларов. </t>
    </r>
  </si>
  <si>
    <r>
      <rPr>
        <i/>
        <sz val="11"/>
        <rFont val="Arial Cyr"/>
        <family val="0"/>
      </rPr>
      <t>О</t>
    </r>
    <r>
      <rPr>
        <i/>
        <sz val="11"/>
        <color indexed="8"/>
        <rFont val="Arial Cyr"/>
        <family val="0"/>
      </rPr>
      <t xml:space="preserve">бязательная доплата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color indexed="8"/>
        <rFont val="Arial Cyr"/>
        <family val="0"/>
      </rPr>
      <t xml:space="preserve"> декабря на человека в номере </t>
    </r>
    <r>
      <rPr>
        <i/>
        <sz val="11"/>
        <color indexed="10"/>
        <rFont val="Arial Cyr"/>
        <family val="0"/>
      </rPr>
      <t>26</t>
    </r>
    <r>
      <rPr>
        <b/>
        <i/>
        <sz val="11"/>
        <color indexed="10"/>
        <rFont val="Arial Cyr"/>
        <family val="0"/>
      </rPr>
      <t xml:space="preserve"> $</t>
    </r>
    <r>
      <rPr>
        <i/>
        <sz val="11"/>
        <color indexed="8"/>
        <rFont val="Arial Cyr"/>
        <family val="0"/>
      </rPr>
      <t xml:space="preserve">.  Дети до 12 лет по </t>
    </r>
    <r>
      <rPr>
        <i/>
        <sz val="11"/>
        <color indexed="10"/>
        <rFont val="Arial Cyr"/>
        <family val="0"/>
      </rPr>
      <t>13</t>
    </r>
    <r>
      <rPr>
        <b/>
        <i/>
        <sz val="11"/>
        <color indexed="10"/>
        <rFont val="Arial Cyr"/>
        <family val="0"/>
      </rPr>
      <t xml:space="preserve"> $</t>
    </r>
  </si>
  <si>
    <r>
      <t xml:space="preserve">!!! ВНИМАНИЕ: обязательная доплата  </t>
    </r>
    <r>
      <rPr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0"/>
      </rPr>
      <t xml:space="preserve">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0"/>
      </rPr>
      <t xml:space="preserve">декабря </t>
    </r>
    <r>
      <rPr>
        <i/>
        <sz val="11"/>
        <color indexed="10"/>
        <rFont val="Arial Cyr"/>
        <family val="0"/>
      </rPr>
      <t xml:space="preserve">33 </t>
    </r>
    <r>
      <rPr>
        <i/>
        <sz val="11"/>
        <rFont val="Arial Cyr"/>
        <family val="0"/>
      </rPr>
      <t xml:space="preserve">доллара  за взрослого и </t>
    </r>
    <r>
      <rPr>
        <i/>
        <sz val="11"/>
        <color indexed="10"/>
        <rFont val="Arial Cyr"/>
        <family val="0"/>
      </rPr>
      <t>16</t>
    </r>
    <r>
      <rPr>
        <i/>
        <sz val="11"/>
        <rFont val="Arial Cyr"/>
        <family val="0"/>
      </rPr>
      <t xml:space="preserve"> долларов за ребенка</t>
    </r>
  </si>
  <si>
    <t xml:space="preserve"> 22.12.16 - 31.03.17</t>
  </si>
  <si>
    <r>
      <t xml:space="preserve">Доплата за вид на море 33 долл c чел в номере. Обязательная доплата </t>
    </r>
    <r>
      <rPr>
        <i/>
        <sz val="11"/>
        <color indexed="10"/>
        <rFont val="Arial Cyr"/>
        <family val="0"/>
      </rPr>
      <t>24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rFont val="Arial Cyr"/>
        <family val="0"/>
      </rPr>
      <t xml:space="preserve"> декабря на человека в номере </t>
    </r>
    <r>
      <rPr>
        <b/>
        <i/>
        <sz val="11"/>
        <color indexed="10"/>
        <rFont val="Arial Cyr"/>
        <family val="0"/>
      </rPr>
      <t>33 $</t>
    </r>
    <r>
      <rPr>
        <i/>
        <sz val="11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>16 $</t>
    </r>
  </si>
  <si>
    <t>Максимально размещение 2 взр+2 реб или 3 взр+1 реб</t>
  </si>
  <si>
    <t xml:space="preserve">11.11.17 - 21.12.17 </t>
  </si>
  <si>
    <t xml:space="preserve">22.12.17 - 06.01.18 </t>
  </si>
  <si>
    <t>07.01.18 - 24.03.18</t>
  </si>
  <si>
    <t>02.04.18 - 08.04.18</t>
  </si>
  <si>
    <t>09.04.16 - 30.04.18</t>
  </si>
  <si>
    <t>01.11.17 - 31.03.18</t>
  </si>
  <si>
    <t xml:space="preserve">   01.04.18 - 30.04.18</t>
  </si>
  <si>
    <t>СТОИМОСТЬ УКАЗАНА В  ДОЛЛАРАХ США НА ОДНОГО ЧЕЛОВЕКА В НОМЕРЕ!!! СТОИМОСТЬ EXTRA BED И CHD ДАНЫ ТОЛЬКО ДЛЯ СТАНДАРТНЫХ НОМЕРОВ!!!                                                                  &gt;&gt;&gt;  ПУТЕВОДИТЕЛЬ  &lt;&lt;&lt;</t>
  </si>
  <si>
    <t xml:space="preserve">Cubanacan                          </t>
  </si>
  <si>
    <t xml:space="preserve">Gran Caribe                            </t>
  </si>
  <si>
    <t xml:space="preserve">Gran Caribe                          </t>
  </si>
  <si>
    <t xml:space="preserve">Islazul                                    </t>
  </si>
  <si>
    <t xml:space="preserve">ACCOR                              </t>
  </si>
  <si>
    <t xml:space="preserve">Habaguanex                        </t>
  </si>
  <si>
    <t xml:space="preserve">Gran Caribe                        </t>
  </si>
  <si>
    <t xml:space="preserve">Gran Caribe                    </t>
  </si>
  <si>
    <t xml:space="preserve">Habaguanex                    </t>
  </si>
  <si>
    <t xml:space="preserve">Iberostar                   </t>
  </si>
  <si>
    <t xml:space="preserve">Islazul                                   </t>
  </si>
  <si>
    <t xml:space="preserve">Islazul                                 </t>
  </si>
  <si>
    <t xml:space="preserve">Islazul                               </t>
  </si>
  <si>
    <t xml:space="preserve">Gran Caribe                       </t>
  </si>
  <si>
    <t xml:space="preserve">Cubanacan                       </t>
  </si>
  <si>
    <t xml:space="preserve">Cubanacan                     </t>
  </si>
  <si>
    <t xml:space="preserve">Cubanacan                      </t>
  </si>
  <si>
    <t xml:space="preserve">Cubanacan                        </t>
  </si>
  <si>
    <t xml:space="preserve">BlueDiamond                     </t>
  </si>
  <si>
    <t xml:space="preserve">BlueDiamond                       </t>
  </si>
  <si>
    <t xml:space="preserve">Н10                                          </t>
  </si>
  <si>
    <t xml:space="preserve">Iberostar                              </t>
  </si>
  <si>
    <t xml:space="preserve">NH                                    </t>
  </si>
  <si>
    <r>
      <rPr>
        <i/>
        <sz val="11"/>
        <rFont val="Arial Cyr"/>
        <family val="0"/>
      </rPr>
      <t xml:space="preserve">Roc  </t>
    </r>
    <r>
      <rPr>
        <b/>
        <sz val="11"/>
        <color indexed="48"/>
        <rFont val="Arial Cyr"/>
        <family val="0"/>
      </rPr>
      <t xml:space="preserve">         </t>
    </r>
    <r>
      <rPr>
        <b/>
        <sz val="11"/>
        <color indexed="10"/>
        <rFont val="Arial Cyr"/>
        <family val="0"/>
      </rPr>
      <t xml:space="preserve">                         </t>
    </r>
  </si>
  <si>
    <r>
      <t xml:space="preserve">Sheraton                             </t>
    </r>
    <r>
      <rPr>
        <b/>
        <sz val="11"/>
        <color indexed="12"/>
        <rFont val="Arial Cyr"/>
        <family val="2"/>
      </rPr>
      <t xml:space="preserve">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</si>
  <si>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</si>
  <si>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</si>
  <si>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 </t>
    </r>
  </si>
  <si>
    <r>
      <rPr>
        <i/>
        <sz val="11"/>
        <rFont val="Arial Cyr"/>
        <family val="0"/>
      </rPr>
      <t xml:space="preserve">Islazul  </t>
    </r>
    <r>
      <rPr>
        <i/>
        <sz val="11"/>
        <color indexed="12"/>
        <rFont val="Arial Cyr"/>
        <family val="0"/>
      </rPr>
      <t xml:space="preserve">           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</si>
  <si>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  </t>
    </r>
  </si>
  <si>
    <r>
      <t xml:space="preserve">Cubanacan               </t>
    </r>
    <r>
      <rPr>
        <sz val="11"/>
        <color indexed="12"/>
        <rFont val="Arial Cyr"/>
        <family val="0"/>
      </rPr>
      <t xml:space="preserve">       </t>
    </r>
  </si>
  <si>
    <t xml:space="preserve">BlueDiamond                   </t>
  </si>
  <si>
    <r>
      <t xml:space="preserve">Cubanacan               </t>
    </r>
    <r>
      <rPr>
        <sz val="11"/>
        <color indexed="12"/>
        <rFont val="Arial Cyr"/>
        <family val="0"/>
      </rPr>
      <t xml:space="preserve">         </t>
    </r>
  </si>
  <si>
    <r>
      <rPr>
        <i/>
        <sz val="11"/>
        <rFont val="Arial Cyr"/>
        <family val="0"/>
      </rPr>
      <t>Gaviota</t>
    </r>
    <r>
      <rPr>
        <i/>
        <sz val="11"/>
        <color indexed="12"/>
        <rFont val="Arial Cyr"/>
        <family val="0"/>
      </rPr>
      <t xml:space="preserve">                            </t>
    </r>
  </si>
  <si>
    <t xml:space="preserve">Iberostar                                 </t>
  </si>
  <si>
    <t xml:space="preserve">Iberostar                               </t>
  </si>
  <si>
    <t>Cubanacan</t>
  </si>
  <si>
    <t xml:space="preserve">ACCOR                           </t>
  </si>
  <si>
    <t xml:space="preserve">Pestana                            </t>
  </si>
  <si>
    <t xml:space="preserve">Gaviota                        </t>
  </si>
  <si>
    <t xml:space="preserve">BlueDiamond           </t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</si>
  <si>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</si>
  <si>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</t>
    </r>
  </si>
  <si>
    <t xml:space="preserve"> H10                                     </t>
  </si>
  <si>
    <t xml:space="preserve">Sercotel                                      </t>
  </si>
  <si>
    <t xml:space="preserve">BlueDiamond                          </t>
  </si>
  <si>
    <t xml:space="preserve">BlueDiamond                        </t>
  </si>
  <si>
    <r>
      <t xml:space="preserve">Gaviota                  </t>
    </r>
    <r>
      <rPr>
        <sz val="11"/>
        <rFont val="Arial Cyr"/>
        <family val="2"/>
      </rPr>
      <t xml:space="preserve">       </t>
    </r>
    <r>
      <rPr>
        <b/>
        <sz val="11"/>
        <color indexed="12"/>
        <rFont val="Arial Cyr"/>
        <family val="2"/>
      </rPr>
      <t xml:space="preserve">       </t>
    </r>
  </si>
  <si>
    <t xml:space="preserve">Gran Caribe                         </t>
  </si>
  <si>
    <r>
      <t xml:space="preserve">Iberostar          </t>
    </r>
    <r>
      <rPr>
        <i/>
        <sz val="11"/>
        <color indexed="48"/>
        <rFont val="Arial Cyr"/>
        <family val="0"/>
      </rPr>
      <t xml:space="preserve">                  </t>
    </r>
  </si>
  <si>
    <r>
      <t>Gran  Caribe</t>
    </r>
    <r>
      <rPr>
        <i/>
        <sz val="11"/>
        <color indexed="48"/>
        <rFont val="Arial Cyr"/>
        <family val="0"/>
      </rPr>
      <t xml:space="preserve">                      </t>
    </r>
  </si>
  <si>
    <r>
      <t>Gran  Caribe</t>
    </r>
    <r>
      <rPr>
        <i/>
        <sz val="11"/>
        <color indexed="48"/>
        <rFont val="Arial Cyr"/>
        <family val="0"/>
      </rPr>
      <t xml:space="preserve">                         </t>
    </r>
  </si>
  <si>
    <t xml:space="preserve">Cubanacan                         </t>
  </si>
  <si>
    <t xml:space="preserve">Iberostar                                  </t>
  </si>
  <si>
    <t xml:space="preserve">Islazul                 </t>
  </si>
  <si>
    <t xml:space="preserve">Islazul                                     </t>
  </si>
  <si>
    <t xml:space="preserve">Islazul                                      </t>
  </si>
  <si>
    <r>
      <t xml:space="preserve">Cubanacan                          </t>
    </r>
    <r>
      <rPr>
        <sz val="11"/>
        <color indexed="12"/>
        <rFont val="Arial Cyr"/>
        <family val="0"/>
      </rPr>
      <t xml:space="preserve"> </t>
    </r>
  </si>
  <si>
    <t xml:space="preserve">Cubanacan                    </t>
  </si>
  <si>
    <t xml:space="preserve">Gran Caribe                   </t>
  </si>
  <si>
    <t xml:space="preserve">Gran Caribe                      </t>
  </si>
  <si>
    <r>
      <t xml:space="preserve">Cubatur                              </t>
    </r>
    <r>
      <rPr>
        <sz val="11"/>
        <color indexed="12"/>
        <rFont val="Arial Cyr"/>
        <family val="0"/>
      </rPr>
      <t xml:space="preserve"> </t>
    </r>
  </si>
  <si>
    <r>
      <rPr>
        <i/>
        <sz val="11"/>
        <rFont val="Arial Cyr"/>
        <family val="0"/>
      </rPr>
      <t xml:space="preserve">Roc  </t>
    </r>
    <r>
      <rPr>
        <b/>
        <sz val="11"/>
        <color indexed="48"/>
        <rFont val="Arial Cyr"/>
        <family val="0"/>
      </rPr>
      <t xml:space="preserve">         </t>
    </r>
    <r>
      <rPr>
        <b/>
        <sz val="11"/>
        <color indexed="10"/>
        <rFont val="Arial Cyr"/>
        <family val="0"/>
      </rPr>
      <t xml:space="preserve">                          </t>
    </r>
  </si>
  <si>
    <r>
      <rPr>
        <i/>
        <sz val="11"/>
        <rFont val="Arial Cyr"/>
        <family val="0"/>
      </rPr>
      <t xml:space="preserve">Roc  </t>
    </r>
    <r>
      <rPr>
        <b/>
        <sz val="11"/>
        <color indexed="48"/>
        <rFont val="Arial Cyr"/>
        <family val="0"/>
      </rPr>
      <t xml:space="preserve">         </t>
    </r>
    <r>
      <rPr>
        <b/>
        <sz val="11"/>
        <color indexed="10"/>
        <rFont val="Arial Cyr"/>
        <family val="0"/>
      </rPr>
      <t xml:space="preserve">                           </t>
    </r>
  </si>
  <si>
    <r>
      <rPr>
        <i/>
        <sz val="11"/>
        <rFont val="Arial Cyr"/>
        <family val="0"/>
      </rPr>
      <t>Blau</t>
    </r>
    <r>
      <rPr>
        <b/>
        <i/>
        <sz val="11"/>
        <color indexed="30"/>
        <rFont val="Arial Cyr"/>
        <family val="0"/>
      </rPr>
      <t xml:space="preserve">                                        </t>
    </r>
  </si>
  <si>
    <r>
      <rPr>
        <i/>
        <sz val="11"/>
        <rFont val="Arial Cyr"/>
        <family val="0"/>
      </rPr>
      <t>Blau</t>
    </r>
    <r>
      <rPr>
        <b/>
        <i/>
        <sz val="11"/>
        <color indexed="30"/>
        <rFont val="Arial Cyr"/>
        <family val="0"/>
      </rPr>
      <t xml:space="preserve">                                         </t>
    </r>
  </si>
  <si>
    <r>
      <rPr>
        <i/>
        <sz val="11"/>
        <rFont val="Arial Cyr"/>
        <family val="0"/>
      </rPr>
      <t xml:space="preserve">Barcelo </t>
    </r>
    <r>
      <rPr>
        <i/>
        <sz val="11"/>
        <color indexed="30"/>
        <rFont val="Arial Cyr"/>
        <family val="0"/>
      </rPr>
      <t xml:space="preserve">                                  </t>
    </r>
  </si>
  <si>
    <r>
      <rPr>
        <i/>
        <sz val="11"/>
        <rFont val="Arial Cyr"/>
        <family val="0"/>
      </rPr>
      <t xml:space="preserve">Barcelo </t>
    </r>
    <r>
      <rPr>
        <i/>
        <sz val="11"/>
        <color indexed="30"/>
        <rFont val="Arial Cyr"/>
        <family val="0"/>
      </rPr>
      <t xml:space="preserve">                                </t>
    </r>
  </si>
  <si>
    <t xml:space="preserve">BlueDiamond                         </t>
  </si>
  <si>
    <t xml:space="preserve">H10                                         </t>
  </si>
  <si>
    <t xml:space="preserve">Iberostar                                </t>
  </si>
  <si>
    <r>
      <t>Трансферы групповые аэропорт Гаваны - отели Гаваны</t>
    </r>
    <r>
      <rPr>
        <i/>
        <sz val="11"/>
        <color indexed="10"/>
        <rFont val="Arial Cyr"/>
        <family val="2"/>
      </rPr>
      <t xml:space="preserve"> - 10 долл</t>
    </r>
    <r>
      <rPr>
        <i/>
        <sz val="11"/>
        <rFont val="Arial Cyr"/>
        <family val="2"/>
      </rPr>
      <t xml:space="preserve"> // такси (1-2 чел) </t>
    </r>
    <r>
      <rPr>
        <i/>
        <sz val="11"/>
        <rFont val="Arial Cyr"/>
        <family val="0"/>
      </rPr>
      <t>-</t>
    </r>
    <r>
      <rPr>
        <i/>
        <sz val="11"/>
        <color indexed="10"/>
        <rFont val="Arial Cyr"/>
        <family val="2"/>
      </rPr>
      <t xml:space="preserve"> 30 долл </t>
    </r>
    <r>
      <rPr>
        <i/>
        <sz val="11"/>
        <rFont val="Arial Cyr"/>
        <family val="0"/>
      </rPr>
      <t xml:space="preserve">// минивен (3-4 чел) - </t>
    </r>
    <r>
      <rPr>
        <i/>
        <sz val="11"/>
        <color indexed="10"/>
        <rFont val="Arial Cyr"/>
        <family val="0"/>
      </rPr>
      <t>77 долл</t>
    </r>
    <r>
      <rPr>
        <i/>
        <sz val="11"/>
        <rFont val="Arial Cyr"/>
        <family val="0"/>
      </rPr>
      <t xml:space="preserve"> // минибас (5-8 чел) - </t>
    </r>
    <r>
      <rPr>
        <i/>
        <sz val="11"/>
        <color indexed="10"/>
        <rFont val="Arial Cyr"/>
        <family val="0"/>
      </rPr>
      <t xml:space="preserve">85 долл  </t>
    </r>
  </si>
  <si>
    <t xml:space="preserve">  22.12.17 - 03.01.18 </t>
  </si>
  <si>
    <t xml:space="preserve">  04.01.18 - 31.01.18</t>
  </si>
  <si>
    <t xml:space="preserve">  01.11.17 - 21.12.17</t>
  </si>
  <si>
    <t xml:space="preserve">Gran Caribe                           </t>
  </si>
  <si>
    <r>
      <t xml:space="preserve">Трансферы групповые отели Варадеро - аэропорт Гаваны </t>
    </r>
    <r>
      <rPr>
        <i/>
        <sz val="11"/>
        <color indexed="10"/>
        <rFont val="Arial Cyr"/>
        <family val="2"/>
      </rPr>
      <t xml:space="preserve">- 25 долл </t>
    </r>
    <r>
      <rPr>
        <i/>
        <sz val="11"/>
        <rFont val="Arial Cyr"/>
        <family val="2"/>
      </rPr>
      <t xml:space="preserve">// такси (1-2 чел) </t>
    </r>
    <r>
      <rPr>
        <i/>
        <sz val="11"/>
        <color indexed="10"/>
        <rFont val="Arial Cyr"/>
        <family val="2"/>
      </rPr>
      <t xml:space="preserve">- 135 долл </t>
    </r>
    <r>
      <rPr>
        <i/>
        <sz val="11"/>
        <rFont val="Arial Cyr"/>
        <family val="0"/>
      </rPr>
      <t xml:space="preserve">// минивен (3-4 чел) - </t>
    </r>
    <r>
      <rPr>
        <i/>
        <sz val="11"/>
        <color indexed="10"/>
        <rFont val="Arial Cyr"/>
        <family val="0"/>
      </rPr>
      <t>260 долл</t>
    </r>
    <r>
      <rPr>
        <i/>
        <sz val="11"/>
        <rFont val="Arial Cyr"/>
        <family val="0"/>
      </rPr>
      <t xml:space="preserve"> // минибас (5-8 чел) - </t>
    </r>
    <r>
      <rPr>
        <i/>
        <sz val="11"/>
        <color indexed="10"/>
        <rFont val="Arial Cyr"/>
        <family val="0"/>
      </rPr>
      <t xml:space="preserve">285 долл  </t>
    </r>
  </si>
  <si>
    <r>
      <t xml:space="preserve">Трансферы  групповые аэропорт Варадеро - отели Варадеро </t>
    </r>
    <r>
      <rPr>
        <i/>
        <sz val="11"/>
        <color indexed="10"/>
        <rFont val="Arial Cyr"/>
        <family val="0"/>
      </rPr>
      <t>- 10 долл</t>
    </r>
    <r>
      <rPr>
        <i/>
        <sz val="11"/>
        <rFont val="Arial Cyr"/>
        <family val="2"/>
      </rPr>
      <t xml:space="preserve"> // такси (1-2 чел) </t>
    </r>
    <r>
      <rPr>
        <i/>
        <sz val="11"/>
        <color indexed="10"/>
        <rFont val="Arial Cyr"/>
        <family val="2"/>
      </rPr>
      <t>- 40 долл</t>
    </r>
    <r>
      <rPr>
        <i/>
        <sz val="11"/>
        <rFont val="Arial Cyr"/>
        <family val="0"/>
      </rPr>
      <t xml:space="preserve"> // минивен (3-4 чел) - </t>
    </r>
    <r>
      <rPr>
        <i/>
        <sz val="11"/>
        <color indexed="10"/>
        <rFont val="Arial Cyr"/>
        <family val="0"/>
      </rPr>
      <t>78 долл</t>
    </r>
    <r>
      <rPr>
        <i/>
        <sz val="11"/>
        <rFont val="Arial Cyr"/>
        <family val="0"/>
      </rPr>
      <t xml:space="preserve"> // минибас (6-8 чел) - </t>
    </r>
    <r>
      <rPr>
        <i/>
        <sz val="11"/>
        <color indexed="10"/>
        <rFont val="Arial Cyr"/>
        <family val="0"/>
      </rPr>
      <t xml:space="preserve">85 долл   </t>
    </r>
  </si>
  <si>
    <r>
      <t xml:space="preserve">Трансферы отель в Тринидаде - отель на Варадеро (OW) - такси (1-2 чел) </t>
    </r>
    <r>
      <rPr>
        <b/>
        <i/>
        <sz val="11"/>
        <color indexed="10"/>
        <rFont val="Arial Cyr"/>
        <family val="0"/>
      </rPr>
      <t>218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371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411 долл </t>
    </r>
  </si>
  <si>
    <r>
      <t xml:space="preserve">Трансферы отель в Тринидаде - отель в Сьенфуэгосe (OW) - такси (1-2 чел) </t>
    </r>
    <r>
      <rPr>
        <b/>
        <i/>
        <sz val="11"/>
        <color indexed="10"/>
        <rFont val="Arial Cyr"/>
        <family val="0"/>
      </rPr>
      <t>75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121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135 долл </t>
    </r>
  </si>
  <si>
    <r>
      <t xml:space="preserve">Трансферы отель в Тринидаде - аэропорт в Гаване (OW) - такси (1-2 чел) </t>
    </r>
    <r>
      <rPr>
        <b/>
        <i/>
        <sz val="11"/>
        <color indexed="10"/>
        <rFont val="Arial Cyr"/>
        <family val="0"/>
      </rPr>
      <t>270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441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490 долл </t>
    </r>
  </si>
  <si>
    <r>
      <t xml:space="preserve">Трансферы отель в Тринидаде - отель на острове Кайо Коко (OW) такси (1-2 чел) </t>
    </r>
    <r>
      <rPr>
        <b/>
        <i/>
        <sz val="11"/>
        <color indexed="10"/>
        <rFont val="Arial Cyr"/>
        <family val="0"/>
      </rPr>
      <t>192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317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351 долл </t>
    </r>
  </si>
  <si>
    <r>
      <t xml:space="preserve">Трансферы отель в Сьенфуэгосe - отель на острове Санта Мария (OW) такси (1-2 чел) </t>
    </r>
    <r>
      <rPr>
        <b/>
        <i/>
        <sz val="11"/>
        <color indexed="10"/>
        <rFont val="Arial Cyr"/>
        <family val="0"/>
      </rPr>
      <t>135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280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303 долл</t>
    </r>
  </si>
  <si>
    <r>
      <t xml:space="preserve">Трансферы отель в Сьенфуэгосe - отель в Тринидаде (OW) - такси (1-2 чел) </t>
    </r>
    <r>
      <rPr>
        <b/>
        <i/>
        <sz val="11"/>
        <color indexed="10"/>
        <rFont val="Arial Cyr"/>
        <family val="0"/>
      </rPr>
      <t>72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121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135 долл</t>
    </r>
  </si>
  <si>
    <r>
      <t xml:space="preserve">Трансферы отель в Сьенфуэгосe - отель на Варадеро (OW)  - такси (1-2 чел) </t>
    </r>
    <r>
      <rPr>
        <b/>
        <i/>
        <sz val="11"/>
        <color indexed="10"/>
        <rFont val="Arial Cyr"/>
        <family val="0"/>
      </rPr>
      <t>143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255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280 долл</t>
    </r>
    <r>
      <rPr>
        <b/>
        <i/>
        <sz val="11"/>
        <rFont val="Arial Cyr"/>
        <family val="0"/>
      </rPr>
      <t xml:space="preserve"> </t>
    </r>
  </si>
  <si>
    <r>
      <t xml:space="preserve">Трансфер аэропорт или отель в Гаване - отель на Кайо Энсеначос OW - такси (1-2 чел) </t>
    </r>
    <r>
      <rPr>
        <b/>
        <i/>
        <sz val="11"/>
        <color indexed="10"/>
        <rFont val="Arial Cyr"/>
        <family val="0"/>
      </rPr>
      <t>292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458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510 долл</t>
    </r>
  </si>
  <si>
    <r>
      <t xml:space="preserve">Трансфер отель на Кайо Энсеначос - отель на Варадеро OW - такси (1-2 чел) </t>
    </r>
    <r>
      <rPr>
        <b/>
        <i/>
        <sz val="11"/>
        <color indexed="10"/>
        <rFont val="Arial Cyr"/>
        <family val="0"/>
      </rPr>
      <t>250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393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435 долл</t>
    </r>
  </si>
  <si>
    <r>
      <t xml:space="preserve">Трансфер аэропорт или отель в Гаване - отель на Кайо Санта Мария OW - такси (1-2 чел) </t>
    </r>
    <r>
      <rPr>
        <b/>
        <i/>
        <sz val="11"/>
        <color indexed="10"/>
        <rFont val="Arial Cyr"/>
        <family val="0"/>
      </rPr>
      <t>292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458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510 долл</t>
    </r>
  </si>
  <si>
    <r>
      <t xml:space="preserve">Трансфер отель на Кайо Санта Мария - отель на Варадеро OW - такси (1-2 чел) </t>
    </r>
    <r>
      <rPr>
        <b/>
        <i/>
        <sz val="11"/>
        <color indexed="10"/>
        <rFont val="Arial Cyr"/>
        <family val="0"/>
      </rPr>
      <t>250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393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435 долл</t>
    </r>
  </si>
  <si>
    <r>
      <t xml:space="preserve">Трансфер аэропорт или отель в Гаване - отель на Кайо Коко OW - такси (1-2 чел) </t>
    </r>
    <r>
      <rPr>
        <b/>
        <i/>
        <sz val="11"/>
        <color indexed="10"/>
        <rFont val="Arial Cyr"/>
        <family val="0"/>
      </rPr>
      <t>403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615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685 долл </t>
    </r>
  </si>
  <si>
    <r>
      <t xml:space="preserve">Трансфер аэропорт или отель в Гаване - отель на Кайо Гильермо OW - такси (1-2 чел) </t>
    </r>
    <r>
      <rPr>
        <b/>
        <i/>
        <sz val="11"/>
        <color indexed="10"/>
        <rFont val="Arial Cyr"/>
        <family val="0"/>
      </rPr>
      <t>420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653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728 долл </t>
    </r>
  </si>
  <si>
    <r>
      <t xml:space="preserve">Трансфер отель на Кайо Гильермо - отель на Варадеро OW - такси (1-2 чел) </t>
    </r>
    <r>
      <rPr>
        <b/>
        <i/>
        <sz val="11"/>
        <color indexed="10"/>
        <rFont val="Arial Cyr"/>
        <family val="0"/>
      </rPr>
      <t>360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588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655 долл </t>
    </r>
  </si>
  <si>
    <r>
      <t xml:space="preserve">Трансфер отель на Кайо Коко - отель на Варадеро OW - такси (1-2 чел) </t>
    </r>
    <r>
      <rPr>
        <b/>
        <i/>
        <sz val="11"/>
        <color indexed="10"/>
        <rFont val="Arial Cyr"/>
        <family val="0"/>
      </rPr>
      <t>338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545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608 долл </t>
    </r>
  </si>
  <si>
    <r>
      <t xml:space="preserve">Трансферы а/п Ольгина - отель на пляже - такси (1-2 чел) </t>
    </r>
    <r>
      <rPr>
        <b/>
        <i/>
        <sz val="11"/>
        <color indexed="10"/>
        <rFont val="Arial Cyr"/>
        <family val="0"/>
      </rPr>
      <t>55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102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112 долл </t>
    </r>
  </si>
  <si>
    <r>
      <t xml:space="preserve">Трансферы а/п Сантьяго - отели Сантьяго (в городе) - такси (1-2 чел) </t>
    </r>
    <r>
      <rPr>
        <b/>
        <i/>
        <sz val="11"/>
        <color indexed="10"/>
        <rFont val="Arial Cyr"/>
        <family val="0"/>
      </rPr>
      <t>30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78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85 долл </t>
    </r>
  </si>
  <si>
    <t xml:space="preserve"> 22.12.17 - 03.01.18 </t>
  </si>
  <si>
    <t xml:space="preserve">  01.02.18 - 31.03.18</t>
  </si>
  <si>
    <t xml:space="preserve"> 01.04.18 - 30.04.18</t>
  </si>
  <si>
    <t xml:space="preserve">   01.11.17 - 21.12.17</t>
  </si>
  <si>
    <t xml:space="preserve">   04.01.18 - 31.01.18</t>
  </si>
  <si>
    <t xml:space="preserve"> 01.02.18 - 31.03.18</t>
  </si>
  <si>
    <t xml:space="preserve">  01.12.17 - 21.12.17 </t>
  </si>
  <si>
    <t xml:space="preserve">  01.11.17 - 30.11.17</t>
  </si>
  <si>
    <t xml:space="preserve">  01.04.18 - 30.04.18</t>
  </si>
  <si>
    <t xml:space="preserve">  04.01.18 - 31.03.18</t>
  </si>
  <si>
    <t xml:space="preserve"> 01.11.17 - 21.12.17</t>
  </si>
  <si>
    <t>Максимальное размещение: в номере STD 2 взр + 2 реб, 3 взр+ 1 реб; *зона Sancturary только для взрослых!  - max 2 взр /3 взр</t>
  </si>
  <si>
    <r>
      <t xml:space="preserve">Для расчета турпакета необходимо включить стоимость проживания + авиабилета + трансферов + туристический сбор                               </t>
    </r>
    <r>
      <rPr>
        <b/>
        <i/>
        <sz val="12"/>
        <color indexed="10"/>
        <rFont val="Arial Cyr"/>
        <family val="0"/>
      </rPr>
      <t>3 долл</t>
    </r>
    <r>
      <rPr>
        <b/>
        <i/>
        <sz val="12"/>
        <color indexed="12"/>
        <rFont val="Arial Cyr"/>
        <family val="0"/>
      </rPr>
      <t xml:space="preserve"> с человека за весь тур + страховку 1,5 долл  в день </t>
    </r>
  </si>
  <si>
    <r>
      <t xml:space="preserve">Трансферы групповые аэропорт Гаваны - отели Варадеро </t>
    </r>
    <r>
      <rPr>
        <i/>
        <sz val="11"/>
        <color indexed="10"/>
        <rFont val="Arial Cyr"/>
        <family val="2"/>
      </rPr>
      <t xml:space="preserve">- 25 долл </t>
    </r>
    <r>
      <rPr>
        <i/>
        <sz val="11"/>
        <rFont val="Arial Cyr"/>
        <family val="2"/>
      </rPr>
      <t xml:space="preserve">// такси (1-2 чел) </t>
    </r>
    <r>
      <rPr>
        <i/>
        <sz val="11"/>
        <color indexed="10"/>
        <rFont val="Arial Cyr"/>
        <family val="2"/>
      </rPr>
      <t xml:space="preserve">- 120 долл </t>
    </r>
    <r>
      <rPr>
        <i/>
        <sz val="11"/>
        <rFont val="Arial Cyr"/>
        <family val="0"/>
      </rPr>
      <t xml:space="preserve">// минивен (3-4 чел) - </t>
    </r>
    <r>
      <rPr>
        <i/>
        <sz val="11"/>
        <color indexed="10"/>
        <rFont val="Arial Cyr"/>
        <family val="0"/>
      </rPr>
      <t>255 долл</t>
    </r>
    <r>
      <rPr>
        <i/>
        <sz val="11"/>
        <rFont val="Arial Cyr"/>
        <family val="0"/>
      </rPr>
      <t xml:space="preserve"> // минибас (5-8 чел) - </t>
    </r>
    <r>
      <rPr>
        <i/>
        <sz val="11"/>
        <color indexed="10"/>
        <rFont val="Arial Cyr"/>
        <family val="0"/>
      </rPr>
      <t xml:space="preserve">280 долл  </t>
    </r>
  </si>
  <si>
    <r>
      <t xml:space="preserve">Трансферы групповые отели Гаваны - отели Варадеро </t>
    </r>
    <r>
      <rPr>
        <i/>
        <sz val="11"/>
        <color indexed="10"/>
        <rFont val="Arial Cyr"/>
        <family val="2"/>
      </rPr>
      <t xml:space="preserve">- 20 долл </t>
    </r>
    <r>
      <rPr>
        <i/>
        <sz val="11"/>
        <rFont val="Arial Cyr"/>
        <family val="2"/>
      </rPr>
      <t xml:space="preserve">// такси (1-2 чел) </t>
    </r>
    <r>
      <rPr>
        <i/>
        <sz val="11"/>
        <color indexed="10"/>
        <rFont val="Arial Cyr"/>
        <family val="2"/>
      </rPr>
      <t>- 135 долл</t>
    </r>
    <r>
      <rPr>
        <i/>
        <sz val="11"/>
        <rFont val="Arial Cyr"/>
        <family val="0"/>
      </rPr>
      <t xml:space="preserve"> // минивен (3-4 чел) - </t>
    </r>
    <r>
      <rPr>
        <i/>
        <sz val="11"/>
        <color indexed="10"/>
        <rFont val="Arial Cyr"/>
        <family val="0"/>
      </rPr>
      <t xml:space="preserve">235 долл </t>
    </r>
    <r>
      <rPr>
        <i/>
        <sz val="11"/>
        <rFont val="Arial Cyr"/>
        <family val="0"/>
      </rPr>
      <t xml:space="preserve">// минибас (5-8 чел) -  </t>
    </r>
    <r>
      <rPr>
        <i/>
        <sz val="11"/>
        <color indexed="10"/>
        <rFont val="Arial Cyr"/>
        <family val="0"/>
      </rPr>
      <t xml:space="preserve">260 долл  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</si>
  <si>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 xml:space="preserve">и 31 </t>
    </r>
    <r>
      <rPr>
        <i/>
        <sz val="11"/>
        <rFont val="Arial Cyr"/>
        <family val="0"/>
      </rPr>
      <t xml:space="preserve">декабря по </t>
    </r>
    <r>
      <rPr>
        <b/>
        <i/>
        <sz val="11"/>
        <color indexed="10"/>
        <rFont val="Arial Cyr"/>
        <family val="0"/>
      </rPr>
      <t>72</t>
    </r>
    <r>
      <rPr>
        <b/>
        <i/>
        <sz val="11"/>
        <color indexed="10"/>
        <rFont val="Arial Cyr"/>
        <family val="0"/>
      </rPr>
      <t xml:space="preserve"> долл</t>
    </r>
    <r>
      <rPr>
        <i/>
        <sz val="11"/>
        <rFont val="Arial Cyr"/>
        <family val="0"/>
      </rPr>
      <t xml:space="preserve">.  Дети от 2 до 12 лет по </t>
    </r>
    <r>
      <rPr>
        <b/>
        <i/>
        <sz val="11"/>
        <color indexed="10"/>
        <rFont val="Arial Cyr"/>
        <family val="0"/>
      </rPr>
      <t>36 долл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</si>
  <si>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 и 31</t>
    </r>
    <r>
      <rPr>
        <i/>
        <sz val="11"/>
        <rFont val="Arial Cyr"/>
        <family val="0"/>
      </rPr>
      <t xml:space="preserve"> декабря по </t>
    </r>
    <r>
      <rPr>
        <b/>
        <i/>
        <sz val="11"/>
        <color indexed="10"/>
        <rFont val="Arial Cyr"/>
        <family val="0"/>
      </rPr>
      <t>72 долл</t>
    </r>
    <r>
      <rPr>
        <i/>
        <sz val="11"/>
        <rFont val="Arial Cyr"/>
        <family val="0"/>
      </rPr>
      <t xml:space="preserve">.   </t>
    </r>
  </si>
  <si>
    <r>
      <t xml:space="preserve">!!! ВНИМАНИЕ: при HB обязательная доплата к цене за человека в номере </t>
    </r>
    <r>
      <rPr>
        <i/>
        <sz val="11"/>
        <color indexed="10"/>
        <rFont val="Arial Cyr"/>
        <family val="0"/>
      </rPr>
      <t xml:space="preserve">24 и 31 декабря </t>
    </r>
    <r>
      <rPr>
        <i/>
        <sz val="11"/>
        <rFont val="Arial Cyr"/>
        <family val="0"/>
      </rPr>
      <t xml:space="preserve">по </t>
    </r>
    <r>
      <rPr>
        <b/>
        <i/>
        <sz val="11"/>
        <color indexed="10"/>
        <rFont val="Arial Cyr"/>
        <family val="0"/>
      </rPr>
      <t xml:space="preserve">65 долл.  </t>
    </r>
    <r>
      <rPr>
        <i/>
        <sz val="11"/>
        <rFont val="Arial Cyr"/>
        <family val="0"/>
      </rPr>
      <t>Дети до 12 лет по</t>
    </r>
    <r>
      <rPr>
        <b/>
        <i/>
        <sz val="11"/>
        <color indexed="10"/>
        <rFont val="Arial Cyr"/>
        <family val="0"/>
      </rPr>
      <t xml:space="preserve"> 33 долл</t>
    </r>
  </si>
  <si>
    <t xml:space="preserve">Cubatur                      </t>
  </si>
  <si>
    <t>01.11.17 - 30.04.18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</si>
  <si>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20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 xml:space="preserve">$.  </t>
    </r>
  </si>
  <si>
    <t xml:space="preserve">22.12.17 - 04.01.18 </t>
  </si>
  <si>
    <t>05.01.18 - 31.01.18</t>
  </si>
  <si>
    <t>01.02.18 - 08.04.17</t>
  </si>
  <si>
    <t>09.04.18 - 30.04.18</t>
  </si>
  <si>
    <t>VILLA DBL</t>
  </si>
  <si>
    <t>VILLA SGL</t>
  </si>
  <si>
    <r>
      <t xml:space="preserve">Доплата за номер Std в основном здании - 4 долл с чел за ночь   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 и 31</t>
    </r>
    <r>
      <rPr>
        <i/>
        <sz val="11"/>
        <rFont val="Arial Cyr"/>
        <family val="0"/>
      </rPr>
      <t xml:space="preserve"> декабря по </t>
    </r>
    <r>
      <rPr>
        <b/>
        <i/>
        <sz val="11"/>
        <color indexed="10"/>
        <rFont val="Arial Cyr"/>
        <family val="0"/>
      </rPr>
      <t>33 долл</t>
    </r>
    <r>
      <rPr>
        <i/>
        <sz val="11"/>
        <rFont val="Arial Cyr"/>
        <family val="0"/>
      </rPr>
      <t xml:space="preserve">. 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</si>
</sst>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%"/>
    <numFmt numFmtId="186" formatCode="[$-FC19]d\ mmmm\ yyyy\ &quot;г.&quot;"/>
  </numFmts>
  <fonts count="1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10"/>
      <name val="Arial Cyr"/>
      <family val="2"/>
    </font>
    <font>
      <b/>
      <i/>
      <sz val="11"/>
      <color indexed="12"/>
      <name val="Arial Cyr"/>
      <family val="2"/>
    </font>
    <font>
      <sz val="11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2"/>
    </font>
    <font>
      <b/>
      <i/>
      <sz val="11"/>
      <name val="Arial Cyr"/>
      <family val="0"/>
    </font>
    <font>
      <i/>
      <sz val="11"/>
      <color indexed="12"/>
      <name val="Arial Cyr"/>
      <family val="0"/>
    </font>
    <font>
      <sz val="11"/>
      <color indexed="12"/>
      <name val="Arial Cyr"/>
      <family val="2"/>
    </font>
    <font>
      <i/>
      <sz val="11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Arial Cyr"/>
      <family val="2"/>
    </font>
    <font>
      <i/>
      <sz val="11"/>
      <color indexed="8"/>
      <name val="Arial Cyr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i/>
      <sz val="10"/>
      <color indexed="8"/>
      <name val="Arial Cyr"/>
      <family val="2"/>
    </font>
    <font>
      <i/>
      <sz val="10"/>
      <color indexed="10"/>
      <name val="Arial Cyr"/>
      <family val="2"/>
    </font>
    <font>
      <b/>
      <sz val="11"/>
      <color indexed="12"/>
      <name val="Arial Cyr"/>
      <family val="2"/>
    </font>
    <font>
      <b/>
      <sz val="11"/>
      <color indexed="17"/>
      <name val="Arial Cyr"/>
      <family val="2"/>
    </font>
    <font>
      <b/>
      <i/>
      <sz val="9"/>
      <name val="Arial Cyr"/>
      <family val="0"/>
    </font>
    <font>
      <i/>
      <sz val="9"/>
      <color indexed="10"/>
      <name val="Arial Cyr"/>
      <family val="0"/>
    </font>
    <font>
      <b/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2"/>
      <color indexed="12"/>
      <name val="Arial Cyr"/>
      <family val="2"/>
    </font>
    <font>
      <i/>
      <sz val="12"/>
      <name val="Arial Cyr"/>
      <family val="2"/>
    </font>
    <font>
      <sz val="12"/>
      <name val="Arial Cyr"/>
      <family val="2"/>
    </font>
    <font>
      <b/>
      <i/>
      <sz val="18"/>
      <color indexed="48"/>
      <name val="Arial Cyr"/>
      <family val="0"/>
    </font>
    <font>
      <b/>
      <i/>
      <u val="single"/>
      <sz val="14"/>
      <name val="Arial Cyr"/>
      <family val="0"/>
    </font>
    <font>
      <i/>
      <sz val="14"/>
      <name val="Arial Cyr"/>
      <family val="0"/>
    </font>
    <font>
      <b/>
      <i/>
      <sz val="11"/>
      <color indexed="48"/>
      <name val="Arial Cyr"/>
      <family val="0"/>
    </font>
    <font>
      <b/>
      <sz val="12"/>
      <color indexed="10"/>
      <name val="Arial Cyr"/>
      <family val="0"/>
    </font>
    <font>
      <b/>
      <i/>
      <sz val="16"/>
      <color indexed="12"/>
      <name val="Arial Cyr"/>
      <family val="0"/>
    </font>
    <font>
      <sz val="11"/>
      <color indexed="10"/>
      <name val="Arial Cyr"/>
      <family val="2"/>
    </font>
    <font>
      <i/>
      <sz val="11"/>
      <color indexed="48"/>
      <name val="Arial Cyr"/>
      <family val="0"/>
    </font>
    <font>
      <b/>
      <i/>
      <sz val="18"/>
      <color indexed="10"/>
      <name val="Arial Cyr"/>
      <family val="0"/>
    </font>
    <font>
      <b/>
      <sz val="12"/>
      <color indexed="12"/>
      <name val="Arial Cyr"/>
      <family val="2"/>
    </font>
    <font>
      <b/>
      <sz val="11"/>
      <color indexed="48"/>
      <name val="Arial Cyr"/>
      <family val="0"/>
    </font>
    <font>
      <b/>
      <i/>
      <sz val="12"/>
      <name val="Arial Cyr"/>
      <family val="2"/>
    </font>
    <font>
      <b/>
      <i/>
      <sz val="12"/>
      <color indexed="10"/>
      <name val="Arial Cyr"/>
      <family val="0"/>
    </font>
    <font>
      <b/>
      <i/>
      <u val="single"/>
      <sz val="12"/>
      <name val="Arial Cyr"/>
      <family val="2"/>
    </font>
    <font>
      <b/>
      <i/>
      <sz val="11"/>
      <color indexed="30"/>
      <name val="Arial Cyr"/>
      <family val="0"/>
    </font>
    <font>
      <b/>
      <sz val="12"/>
      <name val="Arial Cyr"/>
      <family val="0"/>
    </font>
    <font>
      <i/>
      <sz val="11"/>
      <color indexed="30"/>
      <name val="Arial Cyr"/>
      <family val="0"/>
    </font>
    <font>
      <sz val="9"/>
      <color indexed="8"/>
      <name val="Arial Cyr"/>
      <family val="0"/>
    </font>
    <font>
      <sz val="11"/>
      <name val="Calibri"/>
      <family val="2"/>
    </font>
    <font>
      <b/>
      <i/>
      <sz val="11"/>
      <color indexed="62"/>
      <name val="Arial Cyr"/>
      <family val="0"/>
    </font>
    <font>
      <b/>
      <i/>
      <sz val="11"/>
      <color indexed="62"/>
      <name val="Calibri"/>
      <family val="2"/>
    </font>
    <font>
      <b/>
      <i/>
      <sz val="9"/>
      <color indexed="62"/>
      <name val="Arial Cyr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10"/>
      <name val="Arial Cyr"/>
      <family val="0"/>
    </font>
    <font>
      <b/>
      <i/>
      <sz val="22"/>
      <color indexed="18"/>
      <name val="Arial Cyr"/>
      <family val="0"/>
    </font>
    <font>
      <i/>
      <u val="single"/>
      <sz val="11"/>
      <name val="Arial Cyr"/>
      <family val="0"/>
    </font>
    <font>
      <sz val="1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2"/>
      <name val="Calibri"/>
      <family val="2"/>
    </font>
    <font>
      <b/>
      <sz val="14"/>
      <color indexed="12"/>
      <name val="Calibri"/>
      <family val="2"/>
    </font>
    <font>
      <b/>
      <i/>
      <sz val="16"/>
      <color indexed="10"/>
      <name val="Arial Cyr"/>
      <family val="2"/>
    </font>
    <font>
      <b/>
      <i/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30"/>
      <name val="Calibri"/>
      <family val="2"/>
    </font>
    <font>
      <sz val="11"/>
      <color indexed="30"/>
      <name val="Arial Cyr"/>
      <family val="0"/>
    </font>
    <font>
      <b/>
      <sz val="11"/>
      <color indexed="12"/>
      <name val="Calibri"/>
      <family val="2"/>
    </font>
    <font>
      <sz val="10"/>
      <color indexed="12"/>
      <name val="Arial Cyr"/>
      <family val="0"/>
    </font>
    <font>
      <u val="single"/>
      <sz val="15"/>
      <color indexed="12"/>
      <name val="Calibri"/>
      <family val="2"/>
    </font>
    <font>
      <b/>
      <sz val="20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00FF"/>
      <name val="Calibri"/>
      <family val="2"/>
    </font>
    <font>
      <b/>
      <sz val="14"/>
      <color rgb="FF0000FF"/>
      <name val="Calibri"/>
      <family val="2"/>
    </font>
    <font>
      <b/>
      <i/>
      <sz val="16"/>
      <color rgb="FFFF0000"/>
      <name val="Arial Cyr"/>
      <family val="2"/>
    </font>
    <font>
      <b/>
      <i/>
      <sz val="11"/>
      <color rgb="FFFF0000"/>
      <name val="Arial Cyr"/>
      <family val="2"/>
    </font>
    <font>
      <i/>
      <sz val="11"/>
      <color rgb="FFFF0000"/>
      <name val="Arial Cyr"/>
      <family val="2"/>
    </font>
    <font>
      <sz val="11"/>
      <color rgb="FFFF0000"/>
      <name val="Arial Cyr"/>
      <family val="2"/>
    </font>
    <font>
      <b/>
      <i/>
      <u val="single"/>
      <sz val="11"/>
      <color rgb="FF0000FF"/>
      <name val="Calibri"/>
      <family val="2"/>
    </font>
    <font>
      <b/>
      <u val="single"/>
      <sz val="11"/>
      <color rgb="FF0000FF"/>
      <name val="Calibri"/>
      <family val="2"/>
    </font>
    <font>
      <sz val="11"/>
      <color rgb="FF0000FF"/>
      <name val="Calibri"/>
      <family val="2"/>
    </font>
    <font>
      <b/>
      <i/>
      <sz val="11"/>
      <color rgb="FF0070C0"/>
      <name val="Arial Cyr"/>
      <family val="2"/>
    </font>
    <font>
      <sz val="11"/>
      <color rgb="FF0070C0"/>
      <name val="Calibri"/>
      <family val="2"/>
    </font>
    <font>
      <sz val="11"/>
      <color rgb="FF0070C0"/>
      <name val="Arial Cyr"/>
      <family val="0"/>
    </font>
    <font>
      <b/>
      <sz val="12"/>
      <color rgb="FFFF0000"/>
      <name val="Arial Cyr"/>
      <family val="0"/>
    </font>
    <font>
      <b/>
      <sz val="11"/>
      <color rgb="FFFF0000"/>
      <name val="Arial Cyr"/>
      <family val="0"/>
    </font>
    <font>
      <b/>
      <sz val="10"/>
      <color rgb="FF0000FF"/>
      <name val="Arial Cyr"/>
      <family val="0"/>
    </font>
    <font>
      <b/>
      <sz val="11"/>
      <color rgb="FF0000FF"/>
      <name val="Calibri"/>
      <family val="2"/>
    </font>
    <font>
      <sz val="11"/>
      <color theme="1"/>
      <name val="Arial Cyr"/>
      <family val="0"/>
    </font>
    <font>
      <b/>
      <sz val="10"/>
      <color rgb="FFFF0000"/>
      <name val="Arial Cyr"/>
      <family val="2"/>
    </font>
    <font>
      <u val="single"/>
      <sz val="11"/>
      <color rgb="FF0000FF"/>
      <name val="Calibri"/>
      <family val="2"/>
    </font>
    <font>
      <b/>
      <i/>
      <sz val="11"/>
      <color rgb="FF0000FF"/>
      <name val="Arial Cyr"/>
      <family val="2"/>
    </font>
    <font>
      <sz val="11"/>
      <color rgb="FF0000FF"/>
      <name val="Arial Cyr"/>
      <family val="0"/>
    </font>
    <font>
      <sz val="10"/>
      <color rgb="FF0000FF"/>
      <name val="Arial Cyr"/>
      <family val="0"/>
    </font>
    <font>
      <u val="single"/>
      <sz val="15"/>
      <color theme="10"/>
      <name val="Calibri"/>
      <family val="2"/>
    </font>
    <font>
      <b/>
      <sz val="20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DC9E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0" fontId="9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0" fontId="10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1" fillId="32" borderId="0" applyNumberFormat="0" applyBorder="0" applyAlignment="0" applyProtection="0"/>
  </cellStyleXfs>
  <cellXfs count="1119">
    <xf numFmtId="0" fontId="0" fillId="0" borderId="0" xfId="0" applyFont="1" applyAlignment="1">
      <alignment/>
    </xf>
    <xf numFmtId="1" fontId="41" fillId="33" borderId="0" xfId="53" applyNumberFormat="1" applyFont="1" applyFill="1" applyBorder="1" applyAlignment="1" applyProtection="1">
      <alignment horizontal="center"/>
      <protection hidden="1"/>
    </xf>
    <xf numFmtId="1" fontId="5" fillId="33" borderId="10" xfId="53" applyNumberFormat="1" applyFont="1" applyFill="1" applyBorder="1" applyAlignment="1" applyProtection="1">
      <alignment horizontal="center"/>
      <protection hidden="1"/>
    </xf>
    <xf numFmtId="1" fontId="5" fillId="33" borderId="0" xfId="53" applyNumberFormat="1" applyFont="1" applyFill="1" applyBorder="1" applyAlignment="1" applyProtection="1">
      <alignment horizontal="center"/>
      <protection hidden="1"/>
    </xf>
    <xf numFmtId="1" fontId="5" fillId="33" borderId="11" xfId="53" applyNumberFormat="1" applyFont="1" applyFill="1" applyBorder="1" applyAlignment="1" applyProtection="1">
      <alignment horizontal="center"/>
      <protection hidden="1"/>
    </xf>
    <xf numFmtId="1" fontId="5" fillId="33" borderId="12" xfId="53" applyNumberFormat="1" applyFont="1" applyFill="1" applyBorder="1" applyAlignment="1" applyProtection="1">
      <alignment horizontal="center"/>
      <protection hidden="1"/>
    </xf>
    <xf numFmtId="1" fontId="5" fillId="33" borderId="13" xfId="53" applyNumberFormat="1" applyFont="1" applyFill="1" applyBorder="1" applyAlignment="1" applyProtection="1">
      <alignment horizontal="center"/>
      <protection hidden="1"/>
    </xf>
    <xf numFmtId="1" fontId="5" fillId="33" borderId="14" xfId="53" applyNumberFormat="1" applyFont="1" applyFill="1" applyBorder="1" applyAlignment="1" applyProtection="1">
      <alignment horizontal="center"/>
      <protection hidden="1"/>
    </xf>
    <xf numFmtId="1" fontId="5" fillId="33" borderId="15" xfId="53" applyNumberFormat="1" applyFont="1" applyFill="1" applyBorder="1" applyAlignment="1" applyProtection="1">
      <alignment horizontal="center"/>
      <protection hidden="1"/>
    </xf>
    <xf numFmtId="1" fontId="5" fillId="33" borderId="16" xfId="53" applyNumberFormat="1" applyFont="1" applyFill="1" applyBorder="1" applyAlignment="1" applyProtection="1">
      <alignment horizontal="center"/>
      <protection hidden="1"/>
    </xf>
    <xf numFmtId="0" fontId="12" fillId="34" borderId="17" xfId="53" applyFont="1" applyFill="1" applyBorder="1" applyAlignment="1" applyProtection="1">
      <alignment horizontal="center" vertical="center"/>
      <protection hidden="1"/>
    </xf>
    <xf numFmtId="0" fontId="12" fillId="34" borderId="17" xfId="53" applyFont="1" applyFill="1" applyBorder="1" applyAlignment="1" applyProtection="1">
      <alignment horizontal="center"/>
      <protection hidden="1"/>
    </xf>
    <xf numFmtId="0" fontId="28" fillId="33" borderId="12" xfId="53" applyFont="1" applyFill="1" applyBorder="1" applyProtection="1">
      <alignment/>
      <protection hidden="1"/>
    </xf>
    <xf numFmtId="0" fontId="28" fillId="33" borderId="11" xfId="53" applyFont="1" applyFill="1" applyBorder="1" applyProtection="1">
      <alignment/>
      <protection hidden="1"/>
    </xf>
    <xf numFmtId="0" fontId="2" fillId="33" borderId="12" xfId="53" applyFont="1" applyFill="1" applyBorder="1" applyProtection="1">
      <alignment/>
      <protection hidden="1"/>
    </xf>
    <xf numFmtId="0" fontId="2" fillId="33" borderId="13" xfId="53" applyFont="1" applyFill="1" applyBorder="1" applyProtection="1">
      <alignment/>
      <protection hidden="1"/>
    </xf>
    <xf numFmtId="0" fontId="13" fillId="33" borderId="11" xfId="53" applyFont="1" applyFill="1" applyBorder="1" applyAlignment="1" applyProtection="1">
      <alignment horizontal="center"/>
      <protection hidden="1"/>
    </xf>
    <xf numFmtId="0" fontId="13" fillId="33" borderId="0" xfId="53" applyFont="1" applyFill="1" applyBorder="1" applyAlignment="1" applyProtection="1">
      <alignment horizontal="center"/>
      <protection hidden="1"/>
    </xf>
    <xf numFmtId="0" fontId="5" fillId="33" borderId="0" xfId="53" applyFont="1" applyFill="1" applyProtection="1">
      <alignment/>
      <protection hidden="1"/>
    </xf>
    <xf numFmtId="0" fontId="4" fillId="33" borderId="0" xfId="53" applyFont="1" applyFill="1" applyAlignment="1" applyProtection="1">
      <alignment horizontal="center"/>
      <protection hidden="1"/>
    </xf>
    <xf numFmtId="0" fontId="8" fillId="33" borderId="0" xfId="53" applyFont="1" applyFill="1" applyBorder="1" applyAlignment="1" applyProtection="1">
      <alignment horizontal="left"/>
      <protection hidden="1"/>
    </xf>
    <xf numFmtId="0" fontId="30" fillId="33" borderId="10" xfId="53" applyFont="1" applyFill="1" applyBorder="1" applyAlignment="1" applyProtection="1">
      <alignment horizontal="right"/>
      <protection hidden="1"/>
    </xf>
    <xf numFmtId="0" fontId="5" fillId="33" borderId="0" xfId="53" applyFont="1" applyFill="1" applyBorder="1" applyProtection="1">
      <alignment/>
      <protection hidden="1"/>
    </xf>
    <xf numFmtId="0" fontId="5" fillId="33" borderId="11" xfId="53" applyFont="1" applyFill="1" applyBorder="1" applyProtection="1">
      <alignment/>
      <protection hidden="1"/>
    </xf>
    <xf numFmtId="0" fontId="6" fillId="33" borderId="0" xfId="53" applyFont="1" applyFill="1" applyBorder="1" applyAlignment="1" applyProtection="1">
      <alignment horizontal="left"/>
      <protection hidden="1"/>
    </xf>
    <xf numFmtId="0" fontId="17" fillId="33" borderId="0" xfId="53" applyFont="1" applyFill="1" applyBorder="1" applyAlignment="1" applyProtection="1">
      <alignment horizontal="center"/>
      <protection hidden="1"/>
    </xf>
    <xf numFmtId="0" fontId="5" fillId="33" borderId="0" xfId="53" applyFont="1" applyFill="1" applyBorder="1" applyAlignment="1" applyProtection="1">
      <alignment horizontal="center"/>
      <protection hidden="1"/>
    </xf>
    <xf numFmtId="0" fontId="21" fillId="33" borderId="18" xfId="53" applyFont="1" applyFill="1" applyBorder="1" applyAlignment="1" applyProtection="1">
      <alignment horizontal="left"/>
      <protection hidden="1"/>
    </xf>
    <xf numFmtId="0" fontId="21" fillId="33" borderId="10" xfId="53" applyFont="1" applyFill="1" applyBorder="1" applyAlignment="1" applyProtection="1">
      <alignment horizontal="left"/>
      <protection hidden="1"/>
    </xf>
    <xf numFmtId="0" fontId="12" fillId="34" borderId="19" xfId="53" applyFont="1" applyFill="1" applyBorder="1" applyAlignment="1" applyProtection="1">
      <alignment horizontal="center" vertical="center"/>
      <protection hidden="1"/>
    </xf>
    <xf numFmtId="0" fontId="5" fillId="33" borderId="0" xfId="53" applyFont="1" applyFill="1" applyBorder="1" applyAlignment="1" applyProtection="1">
      <alignment horizontal="center" vertical="center"/>
      <protection hidden="1"/>
    </xf>
    <xf numFmtId="0" fontId="2" fillId="33" borderId="11" xfId="53" applyFill="1" applyBorder="1" applyProtection="1">
      <alignment/>
      <protection hidden="1"/>
    </xf>
    <xf numFmtId="0" fontId="12" fillId="33" borderId="20" xfId="53" applyFont="1" applyFill="1" applyBorder="1" applyAlignment="1" applyProtection="1">
      <alignment horizontal="left"/>
      <protection hidden="1"/>
    </xf>
    <xf numFmtId="0" fontId="12" fillId="33" borderId="20" xfId="53" applyFont="1" applyFill="1" applyBorder="1" applyAlignment="1" applyProtection="1">
      <alignment horizontal="center"/>
      <protection hidden="1"/>
    </xf>
    <xf numFmtId="0" fontId="2" fillId="33" borderId="11" xfId="53" applyFont="1" applyFill="1" applyBorder="1" applyProtection="1">
      <alignment/>
      <protection hidden="1"/>
    </xf>
    <xf numFmtId="0" fontId="7" fillId="33" borderId="0" xfId="53" applyFont="1" applyFill="1" applyBorder="1" applyAlignment="1" applyProtection="1">
      <alignment horizontal="left"/>
      <protection hidden="1"/>
    </xf>
    <xf numFmtId="0" fontId="7" fillId="33" borderId="0" xfId="53" applyFont="1" applyFill="1" applyBorder="1" applyAlignment="1" applyProtection="1">
      <alignment horizontal="center"/>
      <protection hidden="1"/>
    </xf>
    <xf numFmtId="0" fontId="6" fillId="33" borderId="10" xfId="53" applyFont="1" applyFill="1" applyBorder="1" applyAlignment="1" applyProtection="1">
      <alignment horizontal="left"/>
      <protection hidden="1"/>
    </xf>
    <xf numFmtId="0" fontId="6" fillId="33" borderId="10" xfId="53" applyFont="1" applyFill="1" applyBorder="1" applyAlignment="1" applyProtection="1">
      <alignment horizontal="center"/>
      <protection hidden="1"/>
    </xf>
    <xf numFmtId="0" fontId="12" fillId="33" borderId="21" xfId="53" applyFont="1" applyFill="1" applyBorder="1" applyProtection="1">
      <alignment/>
      <protection hidden="1"/>
    </xf>
    <xf numFmtId="0" fontId="12" fillId="33" borderId="21" xfId="53" applyFont="1" applyFill="1" applyBorder="1" applyAlignment="1" applyProtection="1">
      <alignment horizontal="center"/>
      <protection hidden="1"/>
    </xf>
    <xf numFmtId="0" fontId="2" fillId="33" borderId="12" xfId="53" applyFont="1" applyFill="1" applyBorder="1" applyAlignment="1" applyProtection="1">
      <alignment horizontal="left"/>
      <protection hidden="1"/>
    </xf>
    <xf numFmtId="0" fontId="2" fillId="33" borderId="12" xfId="53" applyFill="1" applyBorder="1" applyProtection="1">
      <alignment/>
      <protection hidden="1"/>
    </xf>
    <xf numFmtId="0" fontId="2" fillId="33" borderId="13" xfId="53" applyFill="1" applyBorder="1" applyProtection="1">
      <alignment/>
      <protection hidden="1"/>
    </xf>
    <xf numFmtId="0" fontId="6" fillId="33" borderId="0" xfId="53" applyFont="1" applyFill="1" applyBorder="1" applyAlignment="1" applyProtection="1">
      <alignment horizontal="center"/>
      <protection hidden="1"/>
    </xf>
    <xf numFmtId="0" fontId="2" fillId="33" borderId="16" xfId="53" applyFont="1" applyFill="1" applyBorder="1" applyProtection="1">
      <alignment/>
      <protection hidden="1"/>
    </xf>
    <xf numFmtId="0" fontId="5" fillId="33" borderId="21" xfId="53" applyFont="1" applyFill="1" applyBorder="1" applyProtection="1">
      <alignment/>
      <protection hidden="1"/>
    </xf>
    <xf numFmtId="0" fontId="5" fillId="33" borderId="10" xfId="53" applyFont="1" applyFill="1" applyBorder="1" applyProtection="1">
      <alignment/>
      <protection hidden="1"/>
    </xf>
    <xf numFmtId="1" fontId="16" fillId="33" borderId="10" xfId="53" applyNumberFormat="1" applyFont="1" applyFill="1" applyBorder="1" applyAlignment="1" applyProtection="1">
      <alignment horizontal="center"/>
      <protection hidden="1"/>
    </xf>
    <xf numFmtId="0" fontId="28" fillId="33" borderId="13" xfId="53" applyFont="1" applyFill="1" applyBorder="1" applyProtection="1">
      <alignment/>
      <protection hidden="1"/>
    </xf>
    <xf numFmtId="0" fontId="5" fillId="33" borderId="0" xfId="53" applyFont="1" applyFill="1" applyBorder="1" applyProtection="1">
      <alignment/>
      <protection hidden="1"/>
    </xf>
    <xf numFmtId="0" fontId="28" fillId="33" borderId="0" xfId="53" applyFont="1" applyFill="1" applyBorder="1" applyProtection="1">
      <alignment/>
      <protection hidden="1"/>
    </xf>
    <xf numFmtId="1" fontId="16" fillId="33" borderId="0" xfId="53" applyNumberFormat="1" applyFont="1" applyFill="1" applyBorder="1" applyAlignment="1" applyProtection="1">
      <alignment horizontal="center"/>
      <protection hidden="1"/>
    </xf>
    <xf numFmtId="0" fontId="5" fillId="33" borderId="14" xfId="53" applyFont="1" applyFill="1" applyBorder="1" applyProtection="1">
      <alignment/>
      <protection hidden="1"/>
    </xf>
    <xf numFmtId="0" fontId="8" fillId="33" borderId="10" xfId="53" applyFont="1" applyFill="1" applyBorder="1" applyAlignment="1" applyProtection="1">
      <alignment horizontal="left"/>
      <protection hidden="1"/>
    </xf>
    <xf numFmtId="0" fontId="2" fillId="34" borderId="22" xfId="53" applyFont="1" applyFill="1" applyBorder="1" applyAlignment="1" applyProtection="1">
      <alignment horizontal="center" vertical="center"/>
      <protection hidden="1"/>
    </xf>
    <xf numFmtId="0" fontId="12" fillId="33" borderId="12" xfId="53" applyFont="1" applyFill="1" applyBorder="1" applyAlignment="1" applyProtection="1">
      <alignment horizontal="center"/>
      <protection hidden="1"/>
    </xf>
    <xf numFmtId="0" fontId="12" fillId="34" borderId="12" xfId="53" applyFont="1" applyFill="1" applyBorder="1" applyAlignment="1" applyProtection="1">
      <alignment horizontal="center" vertical="center"/>
      <protection hidden="1"/>
    </xf>
    <xf numFmtId="0" fontId="12" fillId="34" borderId="12" xfId="53" applyFont="1" applyFill="1" applyBorder="1" applyAlignment="1" applyProtection="1">
      <alignment horizontal="center"/>
      <protection hidden="1"/>
    </xf>
    <xf numFmtId="0" fontId="12" fillId="33" borderId="16" xfId="53" applyFont="1" applyFill="1" applyBorder="1" applyProtection="1">
      <alignment/>
      <protection hidden="1"/>
    </xf>
    <xf numFmtId="0" fontId="2" fillId="33" borderId="0" xfId="53" applyFont="1" applyFill="1" applyBorder="1" applyProtection="1">
      <alignment/>
      <protection hidden="1"/>
    </xf>
    <xf numFmtId="0" fontId="5" fillId="33" borderId="10" xfId="53" applyFont="1" applyFill="1" applyBorder="1" applyProtection="1">
      <alignment/>
      <protection hidden="1"/>
    </xf>
    <xf numFmtId="0" fontId="2" fillId="33" borderId="10" xfId="53" applyFont="1" applyFill="1" applyBorder="1" applyProtection="1">
      <alignment/>
      <protection hidden="1"/>
    </xf>
    <xf numFmtId="0" fontId="17" fillId="33" borderId="0" xfId="53" applyFont="1" applyFill="1" applyBorder="1" applyAlignment="1" applyProtection="1">
      <alignment horizontal="left"/>
      <protection hidden="1"/>
    </xf>
    <xf numFmtId="0" fontId="12" fillId="34" borderId="23" xfId="53" applyFont="1" applyFill="1" applyBorder="1" applyAlignment="1" applyProtection="1">
      <alignment horizontal="center" vertical="center"/>
      <protection hidden="1"/>
    </xf>
    <xf numFmtId="0" fontId="29" fillId="34" borderId="12" xfId="53" applyFont="1" applyFill="1" applyBorder="1" applyAlignment="1" applyProtection="1">
      <alignment horizontal="center" vertical="center"/>
      <protection hidden="1"/>
    </xf>
    <xf numFmtId="1" fontId="5" fillId="33" borderId="0" xfId="53" applyNumberFormat="1" applyFont="1" applyFill="1" applyBorder="1" applyAlignment="1" applyProtection="1">
      <alignment horizontal="center" vertical="center"/>
      <protection hidden="1"/>
    </xf>
    <xf numFmtId="0" fontId="17" fillId="33" borderId="0" xfId="53" applyFont="1" applyFill="1" applyBorder="1" applyAlignment="1" applyProtection="1">
      <alignment horizontal="left"/>
      <protection hidden="1"/>
    </xf>
    <xf numFmtId="0" fontId="12" fillId="34" borderId="24" xfId="53" applyFont="1" applyFill="1" applyBorder="1" applyAlignment="1" applyProtection="1">
      <alignment horizontal="center" vertical="center"/>
      <protection hidden="1"/>
    </xf>
    <xf numFmtId="0" fontId="29" fillId="34" borderId="24" xfId="53" applyFont="1" applyFill="1" applyBorder="1" applyAlignment="1" applyProtection="1">
      <alignment horizontal="center" vertical="center"/>
      <protection hidden="1"/>
    </xf>
    <xf numFmtId="0" fontId="7" fillId="33" borderId="18" xfId="53" applyFont="1" applyFill="1" applyBorder="1" applyAlignment="1" applyProtection="1">
      <alignment/>
      <protection hidden="1"/>
    </xf>
    <xf numFmtId="0" fontId="7" fillId="33" borderId="10" xfId="53" applyFont="1" applyFill="1" applyBorder="1" applyAlignment="1" applyProtection="1">
      <alignment/>
      <protection hidden="1"/>
    </xf>
    <xf numFmtId="0" fontId="7" fillId="33" borderId="0" xfId="53" applyFont="1" applyFill="1" applyBorder="1" applyAlignment="1" applyProtection="1">
      <alignment/>
      <protection hidden="1"/>
    </xf>
    <xf numFmtId="0" fontId="17" fillId="33" borderId="25" xfId="53" applyFont="1" applyFill="1" applyBorder="1" applyProtection="1">
      <alignment/>
      <protection hidden="1"/>
    </xf>
    <xf numFmtId="0" fontId="17" fillId="33" borderId="10" xfId="53" applyFont="1" applyFill="1" applyBorder="1" applyProtection="1">
      <alignment/>
      <protection hidden="1"/>
    </xf>
    <xf numFmtId="0" fontId="29" fillId="34" borderId="23" xfId="53" applyFont="1" applyFill="1" applyBorder="1" applyAlignment="1" applyProtection="1">
      <alignment horizontal="center" vertical="center"/>
      <protection hidden="1"/>
    </xf>
    <xf numFmtId="0" fontId="5" fillId="33" borderId="0" xfId="53" applyFont="1" applyFill="1" applyAlignment="1" applyProtection="1">
      <alignment horizontal="center" vertical="center"/>
      <protection hidden="1"/>
    </xf>
    <xf numFmtId="0" fontId="24" fillId="34" borderId="12" xfId="53" applyFont="1" applyFill="1" applyBorder="1" applyAlignment="1" applyProtection="1">
      <alignment horizontal="center" vertical="center"/>
      <protection hidden="1"/>
    </xf>
    <xf numFmtId="0" fontId="12" fillId="33" borderId="21" xfId="53" applyFont="1" applyFill="1" applyBorder="1" applyAlignment="1" applyProtection="1">
      <alignment horizontal="left"/>
      <protection hidden="1"/>
    </xf>
    <xf numFmtId="0" fontId="12" fillId="34" borderId="26" xfId="53" applyFont="1" applyFill="1" applyBorder="1" applyAlignment="1" applyProtection="1">
      <alignment horizontal="center" vertical="center"/>
      <protection hidden="1"/>
    </xf>
    <xf numFmtId="0" fontId="24" fillId="34" borderId="23" xfId="53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Alignment="1" applyProtection="1">
      <alignment horizontal="center"/>
      <protection hidden="1"/>
    </xf>
    <xf numFmtId="0" fontId="2" fillId="33" borderId="27" xfId="53" applyFont="1" applyFill="1" applyBorder="1" applyProtection="1">
      <alignment/>
      <protection hidden="1"/>
    </xf>
    <xf numFmtId="0" fontId="5" fillId="33" borderId="0" xfId="53" applyFont="1" applyFill="1" applyBorder="1" applyAlignment="1" applyProtection="1">
      <alignment horizontal="center"/>
      <protection hidden="1"/>
    </xf>
    <xf numFmtId="0" fontId="7" fillId="33" borderId="10" xfId="53" applyFont="1" applyFill="1" applyBorder="1" applyAlignment="1" applyProtection="1">
      <alignment horizontal="left"/>
      <protection hidden="1"/>
    </xf>
    <xf numFmtId="0" fontId="12" fillId="0" borderId="21" xfId="53" applyFont="1" applyBorder="1" applyAlignment="1" applyProtection="1">
      <alignment horizontal="center"/>
      <protection hidden="1"/>
    </xf>
    <xf numFmtId="0" fontId="12" fillId="33" borderId="21" xfId="53" applyFont="1" applyFill="1" applyBorder="1" applyAlignment="1" applyProtection="1">
      <alignment horizontal="center"/>
      <protection hidden="1"/>
    </xf>
    <xf numFmtId="0" fontId="13" fillId="33" borderId="21" xfId="53" applyFont="1" applyFill="1" applyBorder="1" applyAlignment="1" applyProtection="1">
      <alignment horizontal="center"/>
      <protection hidden="1"/>
    </xf>
    <xf numFmtId="0" fontId="5" fillId="33" borderId="10" xfId="53" applyFont="1" applyFill="1" applyBorder="1" applyAlignment="1" applyProtection="1">
      <alignment horizontal="left"/>
      <protection hidden="1"/>
    </xf>
    <xf numFmtId="0" fontId="2" fillId="33" borderId="12" xfId="53" applyFill="1" applyBorder="1" applyAlignment="1" applyProtection="1">
      <alignment horizontal="left"/>
      <protection hidden="1"/>
    </xf>
    <xf numFmtId="0" fontId="2" fillId="33" borderId="10" xfId="53" applyFont="1" applyFill="1" applyBorder="1" applyAlignment="1" applyProtection="1">
      <alignment horizontal="left"/>
      <protection hidden="1"/>
    </xf>
    <xf numFmtId="0" fontId="17" fillId="33" borderId="0" xfId="53" applyFont="1" applyFill="1" applyBorder="1" applyAlignment="1" applyProtection="1">
      <alignment/>
      <protection hidden="1"/>
    </xf>
    <xf numFmtId="0" fontId="11" fillId="33" borderId="10" xfId="53" applyFont="1" applyFill="1" applyBorder="1" applyAlignment="1" applyProtection="1">
      <alignment/>
      <protection hidden="1"/>
    </xf>
    <xf numFmtId="0" fontId="12" fillId="34" borderId="23" xfId="53" applyFont="1" applyFill="1" applyBorder="1" applyAlignment="1" applyProtection="1">
      <alignment horizontal="center" vertical="center"/>
      <protection hidden="1"/>
    </xf>
    <xf numFmtId="0" fontId="7" fillId="34" borderId="12" xfId="53" applyFont="1" applyFill="1" applyBorder="1" applyAlignment="1" applyProtection="1">
      <alignment horizontal="center" vertical="center"/>
      <protection hidden="1"/>
    </xf>
    <xf numFmtId="0" fontId="7" fillId="33" borderId="10" xfId="53" applyFont="1" applyFill="1" applyBorder="1" applyProtection="1">
      <alignment/>
      <protection hidden="1"/>
    </xf>
    <xf numFmtId="0" fontId="13" fillId="34" borderId="23" xfId="53" applyFont="1" applyFill="1" applyBorder="1" applyAlignment="1" applyProtection="1">
      <alignment horizontal="center" vertical="center"/>
      <protection hidden="1"/>
    </xf>
    <xf numFmtId="0" fontId="19" fillId="33" borderId="0" xfId="53" applyFont="1" applyFill="1" applyBorder="1" applyProtection="1">
      <alignment/>
      <protection hidden="1"/>
    </xf>
    <xf numFmtId="1" fontId="5" fillId="33" borderId="0" xfId="53" applyNumberFormat="1" applyFont="1" applyFill="1" applyBorder="1" applyAlignment="1" applyProtection="1">
      <alignment horizontal="center"/>
      <protection hidden="1"/>
    </xf>
    <xf numFmtId="0" fontId="7" fillId="33" borderId="0" xfId="53" applyFont="1" applyFill="1" applyBorder="1" applyProtection="1">
      <alignment/>
      <protection hidden="1"/>
    </xf>
    <xf numFmtId="0" fontId="2" fillId="33" borderId="0" xfId="53" applyFont="1" applyFill="1" applyBorder="1" applyAlignment="1" applyProtection="1">
      <alignment horizontal="left"/>
      <protection hidden="1"/>
    </xf>
    <xf numFmtId="0" fontId="2" fillId="33" borderId="15" xfId="53" applyFont="1" applyFill="1" applyBorder="1" applyProtection="1">
      <alignment/>
      <protection hidden="1"/>
    </xf>
    <xf numFmtId="0" fontId="7" fillId="34" borderId="23" xfId="53" applyFont="1" applyFill="1" applyBorder="1" applyAlignment="1" applyProtection="1">
      <alignment horizontal="center" vertical="center"/>
      <protection hidden="1"/>
    </xf>
    <xf numFmtId="0" fontId="12" fillId="33" borderId="11" xfId="53" applyFont="1" applyFill="1" applyBorder="1" applyAlignment="1" applyProtection="1">
      <alignment horizontal="left"/>
      <protection hidden="1"/>
    </xf>
    <xf numFmtId="0" fontId="7" fillId="33" borderId="18" xfId="53" applyFont="1" applyFill="1" applyBorder="1" applyProtection="1">
      <alignment/>
      <protection hidden="1"/>
    </xf>
    <xf numFmtId="0" fontId="7" fillId="33" borderId="25" xfId="53" applyFont="1" applyFill="1" applyBorder="1" applyProtection="1">
      <alignment/>
      <protection hidden="1"/>
    </xf>
    <xf numFmtId="0" fontId="18" fillId="33" borderId="11" xfId="53" applyFont="1" applyFill="1" applyBorder="1" applyAlignment="1" applyProtection="1">
      <alignment horizontal="center"/>
      <protection hidden="1"/>
    </xf>
    <xf numFmtId="0" fontId="12" fillId="33" borderId="21" xfId="53" applyFont="1" applyFill="1" applyBorder="1" applyAlignment="1" applyProtection="1">
      <alignment horizontal="left"/>
      <protection hidden="1"/>
    </xf>
    <xf numFmtId="0" fontId="7" fillId="34" borderId="17" xfId="53" applyFont="1" applyFill="1" applyBorder="1" applyAlignment="1" applyProtection="1">
      <alignment horizontal="center" vertical="center"/>
      <protection hidden="1"/>
    </xf>
    <xf numFmtId="0" fontId="12" fillId="33" borderId="15" xfId="53" applyFont="1" applyFill="1" applyBorder="1" applyAlignment="1" applyProtection="1">
      <alignment horizontal="left"/>
      <protection hidden="1"/>
    </xf>
    <xf numFmtId="0" fontId="5" fillId="33" borderId="0" xfId="53" applyFont="1" applyFill="1" applyProtection="1">
      <alignment/>
      <protection hidden="1"/>
    </xf>
    <xf numFmtId="0" fontId="12" fillId="33" borderId="0" xfId="53" applyFont="1" applyFill="1" applyBorder="1" applyAlignment="1" applyProtection="1">
      <alignment horizontal="center"/>
      <protection hidden="1"/>
    </xf>
    <xf numFmtId="0" fontId="7" fillId="33" borderId="0" xfId="53" applyFont="1" applyFill="1" applyBorder="1" applyAlignment="1" applyProtection="1">
      <alignment/>
      <protection hidden="1"/>
    </xf>
    <xf numFmtId="0" fontId="7" fillId="33" borderId="10" xfId="53" applyFont="1" applyFill="1" applyBorder="1" applyAlignment="1" applyProtection="1">
      <alignment/>
      <protection hidden="1"/>
    </xf>
    <xf numFmtId="0" fontId="17" fillId="0" borderId="10" xfId="53" applyFont="1" applyBorder="1" applyProtection="1">
      <alignment/>
      <protection hidden="1"/>
    </xf>
    <xf numFmtId="0" fontId="12" fillId="33" borderId="0" xfId="53" applyFont="1" applyFill="1" applyBorder="1" applyProtection="1">
      <alignment/>
      <protection hidden="1"/>
    </xf>
    <xf numFmtId="0" fontId="13" fillId="0" borderId="10" xfId="53" applyFont="1" applyBorder="1" applyAlignment="1" applyProtection="1">
      <alignment vertical="center"/>
      <protection hidden="1"/>
    </xf>
    <xf numFmtId="0" fontId="13" fillId="33" borderId="10" xfId="53" applyFont="1" applyFill="1" applyBorder="1" applyAlignment="1" applyProtection="1">
      <alignment vertical="center"/>
      <protection hidden="1"/>
    </xf>
    <xf numFmtId="0" fontId="13" fillId="34" borderId="16" xfId="53" applyFont="1" applyFill="1" applyBorder="1" applyAlignment="1" applyProtection="1">
      <alignment horizontal="center"/>
      <protection hidden="1"/>
    </xf>
    <xf numFmtId="0" fontId="13" fillId="34" borderId="28" xfId="53" applyFont="1" applyFill="1" applyBorder="1" applyAlignment="1" applyProtection="1">
      <alignment horizontal="center"/>
      <protection hidden="1"/>
    </xf>
    <xf numFmtId="0" fontId="3" fillId="33" borderId="12" xfId="53" applyFont="1" applyFill="1" applyBorder="1" applyAlignment="1" applyProtection="1">
      <alignment horizontal="center"/>
      <protection hidden="1"/>
    </xf>
    <xf numFmtId="1" fontId="16" fillId="33" borderId="10" xfId="53" applyNumberFormat="1" applyFont="1" applyFill="1" applyBorder="1" applyAlignment="1" applyProtection="1">
      <alignment horizontal="center"/>
      <protection hidden="1"/>
    </xf>
    <xf numFmtId="0" fontId="2" fillId="33" borderId="0" xfId="53" applyFont="1" applyFill="1" applyBorder="1" applyAlignment="1" applyProtection="1">
      <alignment horizontal="center"/>
      <protection hidden="1"/>
    </xf>
    <xf numFmtId="0" fontId="7" fillId="34" borderId="12" xfId="53" applyFont="1" applyFill="1" applyBorder="1" applyAlignment="1" applyProtection="1">
      <alignment horizontal="center"/>
      <protection hidden="1"/>
    </xf>
    <xf numFmtId="0" fontId="13" fillId="34" borderId="24" xfId="53" applyFont="1" applyFill="1" applyBorder="1" applyAlignment="1" applyProtection="1">
      <alignment horizontal="center"/>
      <protection hidden="1"/>
    </xf>
    <xf numFmtId="0" fontId="13" fillId="34" borderId="29" xfId="53" applyFont="1" applyFill="1" applyBorder="1" applyAlignment="1" applyProtection="1">
      <alignment horizontal="center"/>
      <protection hidden="1"/>
    </xf>
    <xf numFmtId="0" fontId="7" fillId="34" borderId="23" xfId="53" applyFont="1" applyFill="1" applyBorder="1" applyAlignment="1" applyProtection="1">
      <alignment horizontal="center"/>
      <protection hidden="1"/>
    </xf>
    <xf numFmtId="0" fontId="11" fillId="33" borderId="0" xfId="53" applyFont="1" applyFill="1" applyBorder="1" applyAlignment="1" applyProtection="1">
      <alignment horizontal="left"/>
      <protection hidden="1"/>
    </xf>
    <xf numFmtId="0" fontId="5" fillId="33" borderId="0" xfId="53" applyFont="1" applyFill="1" applyBorder="1" applyAlignment="1" applyProtection="1">
      <alignment/>
      <protection hidden="1"/>
    </xf>
    <xf numFmtId="0" fontId="17" fillId="33" borderId="18" xfId="53" applyFont="1" applyFill="1" applyBorder="1" applyAlignment="1" applyProtection="1">
      <alignment horizontal="center"/>
      <protection hidden="1"/>
    </xf>
    <xf numFmtId="0" fontId="17" fillId="33" borderId="10" xfId="53" applyFont="1" applyFill="1" applyBorder="1" applyAlignment="1" applyProtection="1">
      <alignment horizontal="center"/>
      <protection hidden="1"/>
    </xf>
    <xf numFmtId="0" fontId="17" fillId="33" borderId="10" xfId="53" applyFont="1" applyFill="1" applyBorder="1" applyAlignment="1" applyProtection="1">
      <alignment horizontal="left"/>
      <protection hidden="1"/>
    </xf>
    <xf numFmtId="0" fontId="12" fillId="33" borderId="20" xfId="53" applyFont="1" applyFill="1" applyBorder="1" applyProtection="1">
      <alignment/>
      <protection hidden="1"/>
    </xf>
    <xf numFmtId="0" fontId="5" fillId="33" borderId="0" xfId="53" applyNumberFormat="1" applyFont="1" applyFill="1" applyBorder="1" applyAlignment="1" applyProtection="1">
      <alignment horizontal="center"/>
      <protection hidden="1"/>
    </xf>
    <xf numFmtId="1" fontId="7" fillId="33" borderId="0" xfId="53" applyNumberFormat="1" applyFont="1" applyFill="1" applyBorder="1" applyAlignment="1" applyProtection="1">
      <alignment horizontal="center" vertical="center" wrapText="1"/>
      <protection hidden="1"/>
    </xf>
    <xf numFmtId="1" fontId="8" fillId="33" borderId="0" xfId="53" applyNumberFormat="1" applyFont="1" applyFill="1" applyBorder="1" applyAlignment="1" applyProtection="1">
      <alignment horizontal="left" vertical="center" wrapText="1"/>
      <protection hidden="1"/>
    </xf>
    <xf numFmtId="1" fontId="31" fillId="33" borderId="0" xfId="53" applyNumberFormat="1" applyFont="1" applyFill="1" applyBorder="1" applyAlignment="1" applyProtection="1">
      <alignment horizontal="center" vertical="center" wrapText="1"/>
      <protection hidden="1"/>
    </xf>
    <xf numFmtId="0" fontId="32" fillId="33" borderId="10" xfId="53" applyFont="1" applyFill="1" applyBorder="1" applyAlignment="1" applyProtection="1">
      <alignment horizontal="center"/>
      <protection hidden="1"/>
    </xf>
    <xf numFmtId="0" fontId="12" fillId="34" borderId="23" xfId="53" applyFont="1" applyFill="1" applyBorder="1" applyAlignment="1" applyProtection="1">
      <alignment horizontal="center"/>
      <protection hidden="1"/>
    </xf>
    <xf numFmtId="1" fontId="7" fillId="33" borderId="0" xfId="53" applyNumberFormat="1" applyFont="1" applyFill="1" applyBorder="1" applyAlignment="1" applyProtection="1">
      <alignment horizontal="center"/>
      <protection hidden="1"/>
    </xf>
    <xf numFmtId="0" fontId="7" fillId="33" borderId="13" xfId="53" applyFont="1" applyFill="1" applyBorder="1" applyProtection="1">
      <alignment/>
      <protection hidden="1"/>
    </xf>
    <xf numFmtId="0" fontId="12" fillId="34" borderId="24" xfId="53" applyFont="1" applyFill="1" applyBorder="1" applyAlignment="1" applyProtection="1">
      <alignment horizontal="center" vertical="center"/>
      <protection hidden="1"/>
    </xf>
    <xf numFmtId="0" fontId="12" fillId="33" borderId="12" xfId="53" applyFont="1" applyFill="1" applyBorder="1" applyProtection="1">
      <alignment/>
      <protection hidden="1"/>
    </xf>
    <xf numFmtId="0" fontId="2" fillId="33" borderId="14" xfId="53" applyFill="1" applyBorder="1" applyProtection="1">
      <alignment/>
      <protection hidden="1"/>
    </xf>
    <xf numFmtId="0" fontId="7" fillId="33" borderId="0" xfId="53" applyFont="1" applyFill="1" applyBorder="1" applyAlignment="1" applyProtection="1">
      <alignment horizontal="left"/>
      <protection hidden="1"/>
    </xf>
    <xf numFmtId="1" fontId="8" fillId="33" borderId="0" xfId="53" applyNumberFormat="1" applyFont="1" applyFill="1" applyBorder="1" applyAlignment="1" applyProtection="1">
      <alignment horizontal="left"/>
      <protection hidden="1"/>
    </xf>
    <xf numFmtId="0" fontId="32" fillId="33" borderId="0" xfId="53" applyFont="1" applyFill="1" applyBorder="1" applyAlignment="1" applyProtection="1">
      <alignment/>
      <protection hidden="1"/>
    </xf>
    <xf numFmtId="0" fontId="4" fillId="33" borderId="10" xfId="53" applyFont="1" applyFill="1" applyBorder="1" applyAlignment="1" applyProtection="1">
      <alignment horizontal="center"/>
      <protection hidden="1"/>
    </xf>
    <xf numFmtId="0" fontId="4" fillId="33" borderId="0" xfId="53" applyFont="1" applyFill="1" applyBorder="1" applyAlignment="1" applyProtection="1">
      <alignment horizontal="center"/>
      <protection hidden="1"/>
    </xf>
    <xf numFmtId="0" fontId="5" fillId="33" borderId="0" xfId="53" applyFont="1" applyFill="1" applyBorder="1" applyAlignment="1" applyProtection="1">
      <alignment/>
      <protection hidden="1"/>
    </xf>
    <xf numFmtId="0" fontId="7" fillId="33" borderId="10" xfId="53" applyFont="1" applyFill="1" applyBorder="1" applyAlignment="1" applyProtection="1">
      <alignment horizontal="left"/>
      <protection hidden="1"/>
    </xf>
    <xf numFmtId="0" fontId="8" fillId="33" borderId="0" xfId="53" applyFont="1" applyFill="1" applyBorder="1" applyAlignment="1" applyProtection="1">
      <alignment horizontal="center"/>
      <protection hidden="1"/>
    </xf>
    <xf numFmtId="0" fontId="28" fillId="33" borderId="14" xfId="53" applyFont="1" applyFill="1" applyBorder="1" applyProtection="1">
      <alignment/>
      <protection hidden="1"/>
    </xf>
    <xf numFmtId="0" fontId="13" fillId="34" borderId="23" xfId="53" applyFont="1" applyFill="1" applyBorder="1" applyAlignment="1" applyProtection="1">
      <alignment horizontal="center" vertical="center"/>
      <protection hidden="1"/>
    </xf>
    <xf numFmtId="1" fontId="8" fillId="33" borderId="0" xfId="53" applyNumberFormat="1" applyFont="1" applyFill="1" applyBorder="1" applyAlignment="1" applyProtection="1">
      <alignment wrapText="1"/>
      <protection hidden="1"/>
    </xf>
    <xf numFmtId="1" fontId="7" fillId="33" borderId="0" xfId="53" applyNumberFormat="1" applyFont="1" applyFill="1" applyBorder="1" applyAlignment="1" applyProtection="1">
      <alignment horizontal="center" wrapText="1"/>
      <protection hidden="1"/>
    </xf>
    <xf numFmtId="0" fontId="6" fillId="33" borderId="18" xfId="53" applyFont="1" applyFill="1" applyBorder="1" applyAlignment="1" applyProtection="1">
      <alignment/>
      <protection hidden="1"/>
    </xf>
    <xf numFmtId="0" fontId="6" fillId="0" borderId="10" xfId="53" applyFont="1" applyBorder="1" applyAlignment="1" applyProtection="1">
      <alignment/>
      <protection hidden="1"/>
    </xf>
    <xf numFmtId="0" fontId="6" fillId="33" borderId="10" xfId="53" applyFont="1" applyFill="1" applyBorder="1" applyAlignment="1" applyProtection="1">
      <alignment/>
      <protection hidden="1"/>
    </xf>
    <xf numFmtId="0" fontId="2" fillId="33" borderId="0" xfId="53" applyFill="1" applyBorder="1" applyAlignment="1" applyProtection="1">
      <alignment/>
      <protection hidden="1"/>
    </xf>
    <xf numFmtId="0" fontId="2" fillId="33" borderId="11" xfId="53" applyFont="1" applyFill="1" applyBorder="1" applyProtection="1">
      <alignment/>
      <protection hidden="1"/>
    </xf>
    <xf numFmtId="0" fontId="2" fillId="33" borderId="12" xfId="53" applyFont="1" applyFill="1" applyBorder="1" applyProtection="1">
      <alignment/>
      <protection hidden="1"/>
    </xf>
    <xf numFmtId="0" fontId="2" fillId="33" borderId="10" xfId="53" applyFont="1" applyFill="1" applyBorder="1" applyProtection="1">
      <alignment/>
      <protection hidden="1"/>
    </xf>
    <xf numFmtId="0" fontId="7" fillId="33" borderId="0" xfId="53" applyFont="1" applyFill="1" applyAlignment="1" applyProtection="1">
      <alignment horizontal="center"/>
      <protection hidden="1"/>
    </xf>
    <xf numFmtId="0" fontId="8" fillId="33" borderId="0" xfId="53" applyFont="1" applyFill="1" applyAlignment="1" applyProtection="1">
      <alignment horizontal="left"/>
      <protection hidden="1"/>
    </xf>
    <xf numFmtId="0" fontId="7" fillId="33" borderId="0" xfId="53" applyFont="1" applyFill="1" applyAlignment="1" applyProtection="1">
      <alignment horizontal="left"/>
      <protection hidden="1"/>
    </xf>
    <xf numFmtId="0" fontId="31" fillId="33" borderId="0" xfId="53" applyFont="1" applyFill="1" applyAlignment="1" applyProtection="1">
      <alignment horizontal="left"/>
      <protection hidden="1"/>
    </xf>
    <xf numFmtId="0" fontId="2" fillId="33" borderId="11" xfId="53" applyFont="1" applyFill="1" applyBorder="1" applyAlignment="1" applyProtection="1">
      <alignment horizontal="left"/>
      <protection hidden="1"/>
    </xf>
    <xf numFmtId="0" fontId="12" fillId="33" borderId="20" xfId="53" applyFont="1" applyFill="1" applyBorder="1" applyAlignment="1" applyProtection="1">
      <alignment horizontal="left"/>
      <protection hidden="1"/>
    </xf>
    <xf numFmtId="0" fontId="2" fillId="33" borderId="0" xfId="53" applyFill="1" applyBorder="1" applyProtection="1">
      <alignment/>
      <protection hidden="1"/>
    </xf>
    <xf numFmtId="0" fontId="2" fillId="33" borderId="10" xfId="53" applyFill="1" applyBorder="1" applyProtection="1">
      <alignment/>
      <protection hidden="1"/>
    </xf>
    <xf numFmtId="0" fontId="28" fillId="33" borderId="16" xfId="53" applyFont="1" applyFill="1" applyBorder="1" applyProtection="1">
      <alignment/>
      <protection hidden="1"/>
    </xf>
    <xf numFmtId="0" fontId="7" fillId="33" borderId="30" xfId="53" applyFont="1" applyFill="1" applyBorder="1" applyAlignment="1" applyProtection="1">
      <alignment horizontal="left"/>
      <protection hidden="1"/>
    </xf>
    <xf numFmtId="0" fontId="11" fillId="33" borderId="0" xfId="53" applyFont="1" applyFill="1" applyBorder="1" applyAlignment="1" applyProtection="1">
      <alignment horizontal="left"/>
      <protection hidden="1"/>
    </xf>
    <xf numFmtId="0" fontId="22" fillId="33" borderId="14" xfId="53" applyFont="1" applyFill="1" applyBorder="1" applyAlignment="1" applyProtection="1">
      <alignment/>
      <protection hidden="1"/>
    </xf>
    <xf numFmtId="0" fontId="7" fillId="33" borderId="10" xfId="53" applyFont="1" applyFill="1" applyBorder="1" applyProtection="1">
      <alignment/>
      <protection hidden="1"/>
    </xf>
    <xf numFmtId="0" fontId="9" fillId="33" borderId="10" xfId="53" applyFont="1" applyFill="1" applyBorder="1" applyAlignment="1" applyProtection="1">
      <alignment/>
      <protection hidden="1"/>
    </xf>
    <xf numFmtId="1" fontId="5" fillId="33" borderId="31" xfId="53" applyNumberFormat="1" applyFont="1" applyFill="1" applyBorder="1" applyAlignment="1" applyProtection="1">
      <alignment horizontal="center"/>
      <protection hidden="1"/>
    </xf>
    <xf numFmtId="0" fontId="14" fillId="34" borderId="12" xfId="53" applyFont="1" applyFill="1" applyBorder="1" applyAlignment="1" applyProtection="1">
      <alignment horizontal="left"/>
      <protection hidden="1"/>
    </xf>
    <xf numFmtId="0" fontId="12" fillId="34" borderId="12" xfId="53" applyFont="1" applyFill="1" applyBorder="1" applyAlignment="1" applyProtection="1">
      <alignment horizontal="left"/>
      <protection hidden="1"/>
    </xf>
    <xf numFmtId="0" fontId="12" fillId="34" borderId="23" xfId="53" applyFont="1" applyFill="1" applyBorder="1" applyAlignment="1" applyProtection="1">
      <alignment horizontal="left"/>
      <protection hidden="1"/>
    </xf>
    <xf numFmtId="0" fontId="25" fillId="34" borderId="12" xfId="53" applyFont="1" applyFill="1" applyBorder="1" applyAlignment="1" applyProtection="1">
      <alignment/>
      <protection hidden="1"/>
    </xf>
    <xf numFmtId="0" fontId="18" fillId="34" borderId="23" xfId="53" applyFont="1" applyFill="1" applyBorder="1" applyAlignment="1" applyProtection="1">
      <alignment horizontal="left"/>
      <protection hidden="1"/>
    </xf>
    <xf numFmtId="0" fontId="23" fillId="34" borderId="12" xfId="53" applyFont="1" applyFill="1" applyBorder="1" applyAlignment="1" applyProtection="1">
      <alignment horizontal="left"/>
      <protection hidden="1"/>
    </xf>
    <xf numFmtId="0" fontId="23" fillId="34" borderId="23" xfId="53" applyFont="1" applyFill="1" applyBorder="1" applyAlignment="1" applyProtection="1">
      <alignment horizontal="left"/>
      <protection hidden="1"/>
    </xf>
    <xf numFmtId="0" fontId="4" fillId="33" borderId="10" xfId="53" applyFont="1" applyFill="1" applyBorder="1" applyAlignment="1" applyProtection="1">
      <alignment horizontal="center"/>
      <protection hidden="1"/>
    </xf>
    <xf numFmtId="0" fontId="28" fillId="33" borderId="15" xfId="53" applyFont="1" applyFill="1" applyBorder="1" applyProtection="1">
      <alignment/>
      <protection hidden="1"/>
    </xf>
    <xf numFmtId="0" fontId="28" fillId="33" borderId="10" xfId="53" applyFont="1" applyFill="1" applyBorder="1" applyProtection="1">
      <alignment/>
      <protection hidden="1"/>
    </xf>
    <xf numFmtId="0" fontId="20" fillId="33" borderId="10" xfId="53" applyFont="1" applyFill="1" applyBorder="1" applyProtection="1">
      <alignment/>
      <protection hidden="1"/>
    </xf>
    <xf numFmtId="0" fontId="20" fillId="33" borderId="0" xfId="53" applyFont="1" applyFill="1" applyBorder="1" applyProtection="1">
      <alignment/>
      <protection hidden="1"/>
    </xf>
    <xf numFmtId="0" fontId="12" fillId="33" borderId="10" xfId="53" applyFont="1" applyFill="1" applyBorder="1" applyProtection="1">
      <alignment/>
      <protection hidden="1"/>
    </xf>
    <xf numFmtId="0" fontId="7" fillId="34" borderId="12" xfId="53" applyFont="1" applyFill="1" applyBorder="1" applyAlignment="1" applyProtection="1">
      <alignment horizontal="center"/>
      <protection hidden="1"/>
    </xf>
    <xf numFmtId="0" fontId="7" fillId="34" borderId="23" xfId="53" applyFont="1" applyFill="1" applyBorder="1" applyAlignment="1" applyProtection="1">
      <alignment horizontal="center"/>
      <protection hidden="1"/>
    </xf>
    <xf numFmtId="0" fontId="30" fillId="33" borderId="0" xfId="53" applyFont="1" applyFill="1" applyAlignment="1" applyProtection="1">
      <alignment horizontal="left" wrapText="1"/>
      <protection hidden="1"/>
    </xf>
    <xf numFmtId="0" fontId="2" fillId="33" borderId="0" xfId="53" applyFont="1" applyFill="1" applyBorder="1" applyAlignment="1" applyProtection="1">
      <alignment horizontal="center" vertical="center"/>
      <protection hidden="1"/>
    </xf>
    <xf numFmtId="0" fontId="32" fillId="33" borderId="0" xfId="53" applyFont="1" applyFill="1" applyAlignment="1" applyProtection="1">
      <alignment horizontal="center"/>
      <protection hidden="1"/>
    </xf>
    <xf numFmtId="0" fontId="32" fillId="33" borderId="32" xfId="53" applyFont="1" applyFill="1" applyBorder="1" applyAlignment="1" applyProtection="1">
      <alignment horizontal="center"/>
      <protection hidden="1"/>
    </xf>
    <xf numFmtId="0" fontId="13" fillId="34" borderId="30" xfId="53" applyFont="1" applyFill="1" applyBorder="1" applyAlignment="1" applyProtection="1">
      <alignment horizontal="center"/>
      <protection hidden="1"/>
    </xf>
    <xf numFmtId="0" fontId="13" fillId="34" borderId="33" xfId="53" applyFont="1" applyFill="1" applyBorder="1" applyAlignment="1" applyProtection="1">
      <alignment horizontal="center"/>
      <protection hidden="1"/>
    </xf>
    <xf numFmtId="0" fontId="7" fillId="33" borderId="34" xfId="53" applyFont="1" applyFill="1" applyBorder="1" applyAlignment="1" applyProtection="1">
      <alignment horizontal="left"/>
      <protection hidden="1"/>
    </xf>
    <xf numFmtId="0" fontId="12" fillId="33" borderId="21" xfId="53" applyFont="1" applyFill="1" applyBorder="1">
      <alignment/>
      <protection/>
    </xf>
    <xf numFmtId="0" fontId="2" fillId="33" borderId="12" xfId="53" applyFont="1" applyFill="1" applyBorder="1">
      <alignment/>
      <protection/>
    </xf>
    <xf numFmtId="0" fontId="12" fillId="33" borderId="21" xfId="53" applyFont="1" applyFill="1" applyBorder="1" applyAlignment="1">
      <alignment horizontal="center"/>
      <protection/>
    </xf>
    <xf numFmtId="0" fontId="27" fillId="33" borderId="21" xfId="53" applyFont="1" applyFill="1" applyBorder="1" applyAlignment="1">
      <alignment horizontal="center"/>
      <protection/>
    </xf>
    <xf numFmtId="0" fontId="2" fillId="33" borderId="12" xfId="53" applyFont="1" applyFill="1" applyBorder="1" applyAlignment="1">
      <alignment horizontal="left"/>
      <protection/>
    </xf>
    <xf numFmtId="0" fontId="2" fillId="33" borderId="12" xfId="53" applyFill="1" applyBorder="1">
      <alignment/>
      <protection/>
    </xf>
    <xf numFmtId="0" fontId="28" fillId="33" borderId="12" xfId="53" applyFont="1" applyFill="1" applyBorder="1">
      <alignment/>
      <protection/>
    </xf>
    <xf numFmtId="0" fontId="2" fillId="34" borderId="23" xfId="53" applyFont="1" applyFill="1" applyBorder="1" applyAlignment="1" applyProtection="1">
      <alignment horizontal="center" vertical="center"/>
      <protection hidden="1"/>
    </xf>
    <xf numFmtId="0" fontId="2" fillId="33" borderId="13" xfId="53" applyFont="1" applyFill="1" applyBorder="1">
      <alignment/>
      <protection/>
    </xf>
    <xf numFmtId="0" fontId="6" fillId="33" borderId="0" xfId="53" applyFont="1" applyFill="1" applyBorder="1" applyAlignment="1">
      <alignment horizontal="left"/>
      <protection/>
    </xf>
    <xf numFmtId="0" fontId="8" fillId="33" borderId="0" xfId="53" applyFont="1" applyFill="1" applyBorder="1" applyProtection="1">
      <alignment/>
      <protection hidden="1"/>
    </xf>
    <xf numFmtId="0" fontId="5" fillId="33" borderId="0" xfId="53" applyFont="1" applyFill="1">
      <alignment/>
      <protection/>
    </xf>
    <xf numFmtId="0" fontId="2" fillId="33" borderId="11" xfId="53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0" xfId="53" applyFont="1" applyFill="1" applyBorder="1">
      <alignment/>
      <protection/>
    </xf>
    <xf numFmtId="0" fontId="7" fillId="33" borderId="11" xfId="53" applyFont="1" applyFill="1" applyBorder="1" applyAlignment="1" applyProtection="1">
      <alignment horizontal="left"/>
      <protection hidden="1"/>
    </xf>
    <xf numFmtId="0" fontId="12" fillId="33" borderId="0" xfId="53" applyFont="1" applyFill="1" applyBorder="1" applyAlignment="1" applyProtection="1">
      <alignment horizontal="center"/>
      <protection hidden="1"/>
    </xf>
    <xf numFmtId="1" fontId="41" fillId="33" borderId="0" xfId="53" applyNumberFormat="1" applyFont="1" applyFill="1" applyBorder="1" applyAlignment="1">
      <alignment horizontal="center"/>
      <protection/>
    </xf>
    <xf numFmtId="0" fontId="5" fillId="0" borderId="0" xfId="53" applyFont="1" applyFill="1">
      <alignment/>
      <protection/>
    </xf>
    <xf numFmtId="0" fontId="8" fillId="33" borderId="0" xfId="53" applyFont="1" applyFill="1" applyAlignment="1">
      <alignment horizontal="left"/>
      <protection/>
    </xf>
    <xf numFmtId="0" fontId="7" fillId="33" borderId="0" xfId="53" applyFont="1" applyFill="1" applyAlignment="1">
      <alignment horizontal="left"/>
      <protection/>
    </xf>
    <xf numFmtId="0" fontId="7" fillId="33" borderId="0" xfId="53" applyFont="1" applyFill="1">
      <alignment/>
      <protection/>
    </xf>
    <xf numFmtId="0" fontId="7" fillId="33" borderId="32" xfId="53" applyFont="1" applyFill="1" applyBorder="1" applyAlignment="1" applyProtection="1">
      <alignment horizontal="left"/>
      <protection hidden="1"/>
    </xf>
    <xf numFmtId="0" fontId="7" fillId="33" borderId="10" xfId="53" applyFont="1" applyFill="1" applyBorder="1" applyAlignment="1">
      <alignment horizontal="left"/>
      <protection/>
    </xf>
    <xf numFmtId="0" fontId="2" fillId="33" borderId="10" xfId="53" applyFill="1" applyBorder="1">
      <alignment/>
      <protection/>
    </xf>
    <xf numFmtId="0" fontId="7" fillId="33" borderId="18" xfId="53" applyFont="1" applyFill="1" applyBorder="1" applyAlignment="1" applyProtection="1">
      <alignment horizontal="left"/>
      <protection hidden="1"/>
    </xf>
    <xf numFmtId="0" fontId="2" fillId="33" borderId="0" xfId="53" applyFill="1">
      <alignment/>
      <protection/>
    </xf>
    <xf numFmtId="0" fontId="3" fillId="34" borderId="23" xfId="53" applyFont="1" applyFill="1" applyBorder="1" applyAlignment="1" applyProtection="1">
      <alignment horizontal="center" vertical="center"/>
      <protection hidden="1"/>
    </xf>
    <xf numFmtId="0" fontId="7" fillId="33" borderId="35" xfId="53" applyFont="1" applyFill="1" applyBorder="1" applyAlignment="1" applyProtection="1">
      <alignment/>
      <protection hidden="1"/>
    </xf>
    <xf numFmtId="1" fontId="5" fillId="33" borderId="32" xfId="53" applyNumberFormat="1" applyFont="1" applyFill="1" applyBorder="1" applyAlignment="1" applyProtection="1">
      <alignment horizontal="center"/>
      <protection hidden="1"/>
    </xf>
    <xf numFmtId="0" fontId="39" fillId="34" borderId="23" xfId="53" applyFont="1" applyFill="1" applyBorder="1" applyAlignment="1" applyProtection="1">
      <alignment horizontal="center" vertical="center"/>
      <protection hidden="1"/>
    </xf>
    <xf numFmtId="0" fontId="7" fillId="33" borderId="13" xfId="53" applyFont="1" applyFill="1" applyBorder="1" applyAlignment="1">
      <alignment horizontal="left"/>
      <protection/>
    </xf>
    <xf numFmtId="0" fontId="12" fillId="33" borderId="20" xfId="53" applyFont="1" applyFill="1" applyBorder="1" applyAlignment="1" applyProtection="1">
      <alignment horizontal="center"/>
      <protection hidden="1"/>
    </xf>
    <xf numFmtId="0" fontId="12" fillId="33" borderId="11" xfId="53" applyFont="1" applyFill="1" applyBorder="1" applyAlignment="1" applyProtection="1">
      <alignment horizontal="left"/>
      <protection hidden="1"/>
    </xf>
    <xf numFmtId="0" fontId="17" fillId="33" borderId="13" xfId="53" applyFont="1" applyFill="1" applyBorder="1" applyProtection="1">
      <alignment/>
      <protection hidden="1"/>
    </xf>
    <xf numFmtId="0" fontId="16" fillId="33" borderId="13" xfId="53" applyFont="1" applyFill="1" applyBorder="1" applyProtection="1">
      <alignment/>
      <protection hidden="1"/>
    </xf>
    <xf numFmtId="0" fontId="13" fillId="33" borderId="20" xfId="53" applyFont="1" applyFill="1" applyBorder="1" applyAlignment="1" applyProtection="1">
      <alignment horizontal="center"/>
      <protection hidden="1"/>
    </xf>
    <xf numFmtId="0" fontId="2" fillId="33" borderId="20" xfId="53" applyFont="1" applyFill="1" applyBorder="1" applyAlignment="1" applyProtection="1">
      <alignment horizontal="center"/>
      <protection hidden="1"/>
    </xf>
    <xf numFmtId="0" fontId="13" fillId="33" borderId="11" xfId="53" applyFont="1" applyFill="1" applyBorder="1" applyProtection="1">
      <alignment/>
      <protection hidden="1"/>
    </xf>
    <xf numFmtId="0" fontId="13" fillId="33" borderId="14" xfId="53" applyFont="1" applyFill="1" applyBorder="1" applyProtection="1">
      <alignment/>
      <protection hidden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29" fillId="33" borderId="2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" fillId="33" borderId="32" xfId="53" applyFont="1" applyFill="1" applyBorder="1" applyAlignment="1" applyProtection="1">
      <alignment horizontal="left"/>
      <protection hidden="1"/>
    </xf>
    <xf numFmtId="0" fontId="17" fillId="33" borderId="35" xfId="53" applyFont="1" applyFill="1" applyBorder="1" applyAlignment="1" applyProtection="1">
      <alignment/>
      <protection hidden="1"/>
    </xf>
    <xf numFmtId="0" fontId="49" fillId="33" borderId="0" xfId="53" applyFont="1" applyFill="1" applyBorder="1" applyAlignment="1" applyProtection="1">
      <alignment horizontal="left"/>
      <protection hidden="1"/>
    </xf>
    <xf numFmtId="0" fontId="13" fillId="34" borderId="23" xfId="53" applyFont="1" applyFill="1" applyBorder="1" applyAlignment="1" applyProtection="1">
      <alignment horizontal="center"/>
      <protection hidden="1"/>
    </xf>
    <xf numFmtId="1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8" fillId="33" borderId="13" xfId="53" applyFont="1" applyFill="1" applyBorder="1">
      <alignment/>
      <protection/>
    </xf>
    <xf numFmtId="0" fontId="12" fillId="33" borderId="12" xfId="53" applyFont="1" applyFill="1" applyBorder="1" applyAlignment="1" applyProtection="1">
      <alignment horizontal="left"/>
      <protection hidden="1"/>
    </xf>
    <xf numFmtId="0" fontId="12" fillId="33" borderId="0" xfId="53" applyFont="1" applyFill="1" applyBorder="1" applyAlignment="1" applyProtection="1">
      <alignment horizontal="left"/>
      <protection hidden="1"/>
    </xf>
    <xf numFmtId="0" fontId="15" fillId="33" borderId="12" xfId="53" applyFont="1" applyFill="1" applyBorder="1" applyProtection="1">
      <alignment/>
      <protection hidden="1"/>
    </xf>
    <xf numFmtId="0" fontId="12" fillId="33" borderId="16" xfId="53" applyFont="1" applyFill="1" applyBorder="1" applyAlignment="1" applyProtection="1">
      <alignment horizontal="left"/>
      <protection hidden="1"/>
    </xf>
    <xf numFmtId="0" fontId="30" fillId="33" borderId="0" xfId="53" applyFont="1" applyFill="1" applyBorder="1" applyProtection="1">
      <alignment/>
      <protection hidden="1"/>
    </xf>
    <xf numFmtId="0" fontId="2" fillId="33" borderId="15" xfId="53" applyFill="1" applyBorder="1" applyProtection="1">
      <alignment/>
      <protection hidden="1"/>
    </xf>
    <xf numFmtId="0" fontId="23" fillId="33" borderId="21" xfId="53" applyFont="1" applyFill="1" applyBorder="1" applyAlignment="1">
      <alignment horizontal="center"/>
      <protection/>
    </xf>
    <xf numFmtId="0" fontId="3" fillId="33" borderId="21" xfId="53" applyFont="1" applyFill="1" applyBorder="1" applyAlignment="1" applyProtection="1">
      <alignment horizontal="center"/>
      <protection hidden="1"/>
    </xf>
    <xf numFmtId="0" fontId="12" fillId="33" borderId="11" xfId="53" applyFont="1" applyFill="1" applyBorder="1" applyAlignment="1" applyProtection="1">
      <alignment horizontal="center"/>
      <protection hidden="1"/>
    </xf>
    <xf numFmtId="0" fontId="23" fillId="33" borderId="11" xfId="53" applyFont="1" applyFill="1" applyBorder="1" applyAlignment="1">
      <alignment horizontal="center"/>
      <protection/>
    </xf>
    <xf numFmtId="0" fontId="2" fillId="33" borderId="14" xfId="53" applyFont="1" applyFill="1" applyBorder="1" applyProtection="1">
      <alignment/>
      <protection hidden="1"/>
    </xf>
    <xf numFmtId="0" fontId="2" fillId="33" borderId="13" xfId="53" applyFont="1" applyFill="1" applyBorder="1" applyAlignment="1" applyProtection="1">
      <alignment horizontal="left"/>
      <protection hidden="1"/>
    </xf>
    <xf numFmtId="0" fontId="2" fillId="33" borderId="11" xfId="53" applyFill="1" applyBorder="1" applyAlignment="1" applyProtection="1">
      <alignment horizontal="left"/>
      <protection hidden="1"/>
    </xf>
    <xf numFmtId="0" fontId="12" fillId="33" borderId="27" xfId="53" applyFont="1" applyFill="1" applyBorder="1" applyAlignment="1" applyProtection="1">
      <alignment horizontal="center"/>
      <protection hidden="1"/>
    </xf>
    <xf numFmtId="0" fontId="17" fillId="33" borderId="18" xfId="53" applyFont="1" applyFill="1" applyBorder="1" applyProtection="1">
      <alignment/>
      <protection hidden="1"/>
    </xf>
    <xf numFmtId="1" fontId="8" fillId="33" borderId="0" xfId="0" applyNumberFormat="1" applyFont="1" applyFill="1" applyBorder="1" applyAlignment="1">
      <alignment horizontal="left"/>
    </xf>
    <xf numFmtId="0" fontId="18" fillId="33" borderId="0" xfId="53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>
      <alignment/>
    </xf>
    <xf numFmtId="0" fontId="2" fillId="33" borderId="10" xfId="53" applyFont="1" applyFill="1" applyBorder="1">
      <alignment/>
      <protection/>
    </xf>
    <xf numFmtId="0" fontId="12" fillId="34" borderId="34" xfId="53" applyFont="1" applyFill="1" applyBorder="1" applyAlignment="1" applyProtection="1">
      <alignment horizontal="center"/>
      <protection hidden="1"/>
    </xf>
    <xf numFmtId="0" fontId="12" fillId="34" borderId="11" xfId="53" applyFont="1" applyFill="1" applyBorder="1" applyAlignment="1" applyProtection="1">
      <alignment horizontal="center"/>
      <protection hidden="1"/>
    </xf>
    <xf numFmtId="0" fontId="12" fillId="33" borderId="0" xfId="53" applyFont="1" applyFill="1" applyBorder="1" applyAlignment="1" applyProtection="1">
      <alignment horizontal="center" vertical="center"/>
      <protection hidden="1"/>
    </xf>
    <xf numFmtId="0" fontId="12" fillId="34" borderId="20" xfId="53" applyFont="1" applyFill="1" applyBorder="1" applyAlignment="1" applyProtection="1">
      <alignment horizontal="center" vertical="center"/>
      <protection hidden="1"/>
    </xf>
    <xf numFmtId="0" fontId="12" fillId="34" borderId="19" xfId="53" applyFont="1" applyFill="1" applyBorder="1" applyAlignment="1" applyProtection="1">
      <alignment horizontal="center" vertical="center"/>
      <protection hidden="1"/>
    </xf>
    <xf numFmtId="1" fontId="12" fillId="34" borderId="34" xfId="53" applyNumberFormat="1" applyFont="1" applyFill="1" applyBorder="1" applyAlignment="1" applyProtection="1">
      <alignment horizontal="center"/>
      <protection hidden="1"/>
    </xf>
    <xf numFmtId="0" fontId="12" fillId="34" borderId="20" xfId="53" applyFont="1" applyFill="1" applyBorder="1" applyAlignment="1" applyProtection="1">
      <alignment horizontal="center" vertical="center"/>
      <protection hidden="1"/>
    </xf>
    <xf numFmtId="0" fontId="12" fillId="34" borderId="12" xfId="53" applyFont="1" applyFill="1" applyBorder="1" applyAlignment="1" applyProtection="1">
      <alignment horizontal="center" vertical="center"/>
      <protection hidden="1"/>
    </xf>
    <xf numFmtId="1" fontId="12" fillId="34" borderId="22" xfId="53" applyNumberFormat="1" applyFont="1" applyFill="1" applyBorder="1" applyAlignment="1" applyProtection="1">
      <alignment horizontal="center"/>
      <protection hidden="1"/>
    </xf>
    <xf numFmtId="0" fontId="12" fillId="34" borderId="36" xfId="53" applyFont="1" applyFill="1" applyBorder="1" applyAlignment="1" applyProtection="1">
      <alignment horizontal="center"/>
      <protection hidden="1"/>
    </xf>
    <xf numFmtId="0" fontId="7" fillId="33" borderId="37" xfId="53" applyFont="1" applyFill="1" applyBorder="1" applyAlignment="1" applyProtection="1">
      <alignment horizontal="left"/>
      <protection hidden="1"/>
    </xf>
    <xf numFmtId="0" fontId="7" fillId="33" borderId="35" xfId="53" applyFont="1" applyFill="1" applyBorder="1" applyAlignment="1" applyProtection="1">
      <alignment horizontal="left"/>
      <protection hidden="1"/>
    </xf>
    <xf numFmtId="0" fontId="12" fillId="34" borderId="36" xfId="53" applyFont="1" applyFill="1" applyBorder="1" applyAlignment="1" applyProtection="1">
      <alignment horizontal="center" vertical="center"/>
      <protection hidden="1"/>
    </xf>
    <xf numFmtId="0" fontId="12" fillId="34" borderId="38" xfId="53" applyFont="1" applyFill="1" applyBorder="1" applyAlignment="1" applyProtection="1">
      <alignment horizontal="center" vertical="center"/>
      <protection hidden="1"/>
    </xf>
    <xf numFmtId="0" fontId="12" fillId="34" borderId="16" xfId="53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 horizontal="center"/>
    </xf>
    <xf numFmtId="0" fontId="12" fillId="33" borderId="11" xfId="53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32" fillId="33" borderId="0" xfId="53" applyFont="1" applyFill="1" applyBorder="1" applyAlignment="1" applyProtection="1">
      <alignment horizontal="center"/>
      <protection hidden="1"/>
    </xf>
    <xf numFmtId="0" fontId="11" fillId="33" borderId="39" xfId="53" applyFont="1" applyFill="1" applyBorder="1" applyAlignment="1" applyProtection="1">
      <alignment horizontal="left"/>
      <protection hidden="1"/>
    </xf>
    <xf numFmtId="0" fontId="7" fillId="0" borderId="39" xfId="53" applyFont="1" applyBorder="1" applyProtection="1">
      <alignment/>
      <protection hidden="1"/>
    </xf>
    <xf numFmtId="0" fontId="11" fillId="0" borderId="10" xfId="53" applyFont="1" applyBorder="1" applyAlignment="1" applyProtection="1">
      <alignment horizontal="left"/>
      <protection hidden="1"/>
    </xf>
    <xf numFmtId="0" fontId="11" fillId="0" borderId="0" xfId="53" applyFont="1" applyBorder="1" applyAlignment="1" applyProtection="1">
      <alignment horizontal="left"/>
      <protection hidden="1"/>
    </xf>
    <xf numFmtId="0" fontId="13" fillId="34" borderId="34" xfId="53" applyFont="1" applyFill="1" applyBorder="1" applyAlignment="1" applyProtection="1">
      <alignment horizontal="center"/>
      <protection hidden="1"/>
    </xf>
    <xf numFmtId="0" fontId="30" fillId="33" borderId="0" xfId="53" applyFont="1" applyFill="1" applyBorder="1" applyAlignment="1" applyProtection="1">
      <alignment horizontal="left" wrapText="1"/>
      <protection hidden="1"/>
    </xf>
    <xf numFmtId="0" fontId="2" fillId="34" borderId="20" xfId="53" applyFill="1" applyBorder="1" applyAlignment="1" applyProtection="1">
      <alignment horizontal="center" vertical="center"/>
      <protection hidden="1"/>
    </xf>
    <xf numFmtId="0" fontId="13" fillId="34" borderId="22" xfId="53" applyFont="1" applyFill="1" applyBorder="1" applyAlignment="1" applyProtection="1">
      <alignment horizontal="center"/>
      <protection hidden="1"/>
    </xf>
    <xf numFmtId="0" fontId="7" fillId="33" borderId="0" xfId="53" applyFont="1" applyFill="1" applyBorder="1" applyAlignment="1">
      <alignment horizontal="left"/>
      <protection/>
    </xf>
    <xf numFmtId="0" fontId="2" fillId="34" borderId="12" xfId="53" applyFont="1" applyFill="1" applyBorder="1" applyAlignment="1" applyProtection="1">
      <alignment horizontal="center" vertical="center"/>
      <protection hidden="1"/>
    </xf>
    <xf numFmtId="0" fontId="6" fillId="33" borderId="34" xfId="53" applyFont="1" applyFill="1" applyBorder="1" applyAlignment="1" applyProtection="1">
      <alignment horizontal="left"/>
      <protection hidden="1"/>
    </xf>
    <xf numFmtId="0" fontId="12" fillId="33" borderId="15" xfId="53" applyFont="1" applyFill="1" applyBorder="1" applyProtection="1">
      <alignment/>
      <protection hidden="1"/>
    </xf>
    <xf numFmtId="0" fontId="0" fillId="0" borderId="10" xfId="0" applyBorder="1" applyAlignment="1">
      <alignment/>
    </xf>
    <xf numFmtId="0" fontId="10" fillId="33" borderId="0" xfId="53" applyFont="1" applyFill="1" applyBorder="1" applyProtection="1">
      <alignment/>
      <protection hidden="1"/>
    </xf>
    <xf numFmtId="0" fontId="6" fillId="33" borderId="37" xfId="53" applyFont="1" applyFill="1" applyBorder="1" applyAlignment="1" applyProtection="1">
      <alignment horizontal="left"/>
      <protection hidden="1"/>
    </xf>
    <xf numFmtId="0" fontId="14" fillId="33" borderId="21" xfId="53" applyFont="1" applyFill="1" applyBorder="1" applyProtection="1">
      <alignment/>
      <protection hidden="1"/>
    </xf>
    <xf numFmtId="0" fontId="28" fillId="33" borderId="16" xfId="53" applyFont="1" applyFill="1" applyBorder="1">
      <alignment/>
      <protection/>
    </xf>
    <xf numFmtId="0" fontId="14" fillId="33" borderId="21" xfId="53" applyFont="1" applyFill="1" applyBorder="1" applyAlignment="1" applyProtection="1">
      <alignment horizontal="center"/>
      <protection hidden="1"/>
    </xf>
    <xf numFmtId="0" fontId="15" fillId="33" borderId="21" xfId="53" applyFont="1" applyFill="1" applyBorder="1" applyAlignment="1" applyProtection="1">
      <alignment horizontal="center"/>
      <protection hidden="1"/>
    </xf>
    <xf numFmtId="0" fontId="29" fillId="33" borderId="20" xfId="0" applyFont="1" applyFill="1" applyBorder="1" applyAlignment="1">
      <alignment horizontal="center"/>
    </xf>
    <xf numFmtId="0" fontId="12" fillId="33" borderId="20" xfId="53" applyFont="1" applyFill="1" applyBorder="1" applyAlignment="1" applyProtection="1">
      <alignment horizontal="left" wrapText="1"/>
      <protection hidden="1"/>
    </xf>
    <xf numFmtId="0" fontId="14" fillId="33" borderId="15" xfId="53" applyFont="1" applyFill="1" applyBorder="1" applyProtection="1">
      <alignment/>
      <protection hidden="1"/>
    </xf>
    <xf numFmtId="0" fontId="14" fillId="33" borderId="11" xfId="53" applyFont="1" applyFill="1" applyBorder="1" applyAlignment="1" applyProtection="1">
      <alignment horizontal="center"/>
      <protection hidden="1"/>
    </xf>
    <xf numFmtId="0" fontId="29" fillId="33" borderId="11" xfId="0" applyFont="1" applyFill="1" applyBorder="1" applyAlignment="1">
      <alignment horizontal="center"/>
    </xf>
    <xf numFmtId="0" fontId="16" fillId="33" borderId="11" xfId="53" applyFont="1" applyFill="1" applyBorder="1" applyProtection="1">
      <alignment/>
      <protection hidden="1"/>
    </xf>
    <xf numFmtId="0" fontId="5" fillId="33" borderId="11" xfId="53" applyFont="1" applyFill="1" applyBorder="1" applyProtection="1">
      <alignment/>
      <protection hidden="1"/>
    </xf>
    <xf numFmtId="0" fontId="14" fillId="33" borderId="11" xfId="53" applyFont="1" applyFill="1" applyBorder="1" applyAlignment="1" applyProtection="1">
      <alignment horizontal="left" vertical="center"/>
      <protection hidden="1"/>
    </xf>
    <xf numFmtId="0" fontId="14" fillId="33" borderId="11" xfId="53" applyFont="1" applyFill="1" applyBorder="1" applyAlignment="1" applyProtection="1">
      <alignment horizontal="center" vertical="center"/>
      <protection hidden="1"/>
    </xf>
    <xf numFmtId="0" fontId="13" fillId="33" borderId="21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12" fillId="33" borderId="0" xfId="53" applyFont="1" applyFill="1" applyBorder="1" applyAlignment="1" applyProtection="1">
      <alignment horizontal="left"/>
      <protection hidden="1"/>
    </xf>
    <xf numFmtId="0" fontId="53" fillId="33" borderId="0" xfId="0" applyFont="1" applyFill="1" applyBorder="1" applyAlignment="1">
      <alignment horizontal="left"/>
    </xf>
    <xf numFmtId="0" fontId="12" fillId="33" borderId="15" xfId="53" applyFont="1" applyFill="1" applyBorder="1">
      <alignment/>
      <protection/>
    </xf>
    <xf numFmtId="0" fontId="2" fillId="33" borderId="16" xfId="53" applyFont="1" applyFill="1" applyBorder="1">
      <alignment/>
      <protection/>
    </xf>
    <xf numFmtId="0" fontId="12" fillId="33" borderId="11" xfId="53" applyFont="1" applyFill="1" applyBorder="1" applyAlignment="1">
      <alignment horizontal="center"/>
      <protection/>
    </xf>
    <xf numFmtId="0" fontId="13" fillId="33" borderId="11" xfId="53" applyFont="1" applyFill="1" applyBorder="1" applyAlignment="1">
      <alignment horizontal="center"/>
      <protection/>
    </xf>
    <xf numFmtId="0" fontId="7" fillId="33" borderId="34" xfId="53" applyFont="1" applyFill="1" applyBorder="1" applyAlignment="1">
      <alignment horizontal="left"/>
      <protection/>
    </xf>
    <xf numFmtId="0" fontId="12" fillId="33" borderId="15" xfId="53" applyFont="1" applyFill="1" applyBorder="1" applyAlignment="1" applyProtection="1">
      <alignment horizontal="left"/>
      <protection hidden="1"/>
    </xf>
    <xf numFmtId="0" fontId="29" fillId="33" borderId="21" xfId="0" applyFont="1" applyFill="1" applyBorder="1" applyAlignment="1">
      <alignment horizontal="center"/>
    </xf>
    <xf numFmtId="0" fontId="20" fillId="33" borderId="16" xfId="53" applyFont="1" applyFill="1" applyBorder="1" applyProtection="1">
      <alignment/>
      <protection hidden="1"/>
    </xf>
    <xf numFmtId="0" fontId="20" fillId="33" borderId="12" xfId="53" applyFont="1" applyFill="1" applyBorder="1" applyProtection="1">
      <alignment/>
      <protection hidden="1"/>
    </xf>
    <xf numFmtId="0" fontId="5" fillId="33" borderId="12" xfId="53" applyFont="1" applyFill="1" applyBorder="1" applyProtection="1">
      <alignment/>
      <protection hidden="1"/>
    </xf>
    <xf numFmtId="0" fontId="14" fillId="34" borderId="37" xfId="53" applyFont="1" applyFill="1" applyBorder="1" applyAlignment="1" applyProtection="1">
      <alignment horizontal="left" vertical="center"/>
      <protection hidden="1"/>
    </xf>
    <xf numFmtId="0" fontId="27" fillId="33" borderId="2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50" fillId="34" borderId="37" xfId="53" applyFont="1" applyFill="1" applyBorder="1" applyAlignment="1" applyProtection="1">
      <alignment horizontal="center"/>
      <protection hidden="1"/>
    </xf>
    <xf numFmtId="0" fontId="12" fillId="33" borderId="11" xfId="53" applyFont="1" applyFill="1" applyBorder="1" applyProtection="1">
      <alignment/>
      <protection hidden="1"/>
    </xf>
    <xf numFmtId="0" fontId="3" fillId="33" borderId="11" xfId="53" applyFont="1" applyFill="1" applyBorder="1" applyAlignment="1" applyProtection="1">
      <alignment horizontal="center"/>
      <protection hidden="1"/>
    </xf>
    <xf numFmtId="1" fontId="5" fillId="33" borderId="27" xfId="53" applyNumberFormat="1" applyFont="1" applyFill="1" applyBorder="1" applyAlignment="1" applyProtection="1">
      <alignment horizontal="center"/>
      <protection hidden="1"/>
    </xf>
    <xf numFmtId="1" fontId="5" fillId="33" borderId="40" xfId="53" applyNumberFormat="1" applyFont="1" applyFill="1" applyBorder="1" applyAlignment="1" applyProtection="1">
      <alignment horizontal="center"/>
      <protection hidden="1"/>
    </xf>
    <xf numFmtId="1" fontId="5" fillId="33" borderId="41" xfId="53" applyNumberFormat="1" applyFont="1" applyFill="1" applyBorder="1" applyAlignment="1" applyProtection="1">
      <alignment horizontal="center"/>
      <protection hidden="1"/>
    </xf>
    <xf numFmtId="0" fontId="2" fillId="33" borderId="14" xfId="53" applyFill="1" applyBorder="1" applyAlignment="1" applyProtection="1">
      <alignment horizontal="left"/>
      <protection hidden="1"/>
    </xf>
    <xf numFmtId="0" fontId="12" fillId="33" borderId="42" xfId="53" applyFont="1" applyFill="1" applyBorder="1" applyProtection="1">
      <alignment/>
      <protection hidden="1"/>
    </xf>
    <xf numFmtId="0" fontId="12" fillId="33" borderId="43" xfId="53" applyFont="1" applyFill="1" applyBorder="1" applyAlignment="1" applyProtection="1">
      <alignment horizontal="left"/>
      <protection hidden="1"/>
    </xf>
    <xf numFmtId="0" fontId="0" fillId="33" borderId="0" xfId="0" applyFill="1" applyBorder="1" applyAlignment="1">
      <alignment horizontal="center" vertical="center"/>
    </xf>
    <xf numFmtId="0" fontId="5" fillId="33" borderId="0" xfId="53" applyFont="1" applyFill="1" applyBorder="1" applyAlignment="1" applyProtection="1">
      <alignment horizontal="center" vertical="center"/>
      <protection hidden="1"/>
    </xf>
    <xf numFmtId="0" fontId="2" fillId="33" borderId="11" xfId="53" applyFill="1" applyBorder="1">
      <alignment/>
      <protection/>
    </xf>
    <xf numFmtId="0" fontId="12" fillId="33" borderId="11" xfId="53" applyFont="1" applyFill="1" applyBorder="1" applyAlignment="1" applyProtection="1">
      <alignment horizontal="center"/>
      <protection hidden="1"/>
    </xf>
    <xf numFmtId="0" fontId="28" fillId="33" borderId="13" xfId="53" applyFont="1" applyFill="1" applyBorder="1" applyAlignment="1" applyProtection="1">
      <alignment horizontal="left"/>
      <protection hidden="1"/>
    </xf>
    <xf numFmtId="0" fontId="14" fillId="33" borderId="20" xfId="53" applyFont="1" applyFill="1" applyBorder="1" applyProtection="1">
      <alignment/>
      <protection hidden="1"/>
    </xf>
    <xf numFmtId="0" fontId="14" fillId="33" borderId="20" xfId="53" applyFont="1" applyFill="1" applyBorder="1" applyAlignment="1" applyProtection="1">
      <alignment horizontal="center"/>
      <protection hidden="1"/>
    </xf>
    <xf numFmtId="0" fontId="39" fillId="33" borderId="20" xfId="53" applyFont="1" applyFill="1" applyBorder="1" applyAlignment="1" applyProtection="1">
      <alignment horizontal="center"/>
      <protection hidden="1"/>
    </xf>
    <xf numFmtId="0" fontId="6" fillId="33" borderId="44" xfId="53" applyFont="1" applyFill="1" applyBorder="1" applyAlignment="1" applyProtection="1">
      <alignment horizontal="left"/>
      <protection hidden="1"/>
    </xf>
    <xf numFmtId="0" fontId="6" fillId="33" borderId="39" xfId="53" applyFont="1" applyFill="1" applyBorder="1" applyAlignment="1" applyProtection="1">
      <alignment horizontal="left"/>
      <protection hidden="1"/>
    </xf>
    <xf numFmtId="0" fontId="19" fillId="33" borderId="11" xfId="53" applyFont="1" applyFill="1" applyBorder="1" applyAlignment="1" applyProtection="1">
      <alignment horizontal="left"/>
      <protection hidden="1"/>
    </xf>
    <xf numFmtId="0" fontId="2" fillId="33" borderId="23" xfId="53" applyFont="1" applyFill="1" applyBorder="1" applyProtection="1">
      <alignment/>
      <protection hidden="1"/>
    </xf>
    <xf numFmtId="0" fontId="12" fillId="33" borderId="28" xfId="53" applyFont="1" applyFill="1" applyBorder="1" applyAlignment="1" applyProtection="1">
      <alignment horizontal="left" vertical="top" wrapText="1"/>
      <protection hidden="1"/>
    </xf>
    <xf numFmtId="0" fontId="5" fillId="33" borderId="16" xfId="53" applyFont="1" applyFill="1" applyBorder="1" applyProtection="1">
      <alignment/>
      <protection hidden="1"/>
    </xf>
    <xf numFmtId="0" fontId="12" fillId="33" borderId="0" xfId="53" applyFont="1" applyFill="1" applyBorder="1" applyAlignment="1" applyProtection="1">
      <alignment horizontal="center" vertical="top" wrapText="1"/>
      <protection hidden="1"/>
    </xf>
    <xf numFmtId="0" fontId="3" fillId="33" borderId="0" xfId="53" applyFont="1" applyFill="1" applyBorder="1" applyAlignment="1" applyProtection="1">
      <alignment horizontal="center" vertical="top" wrapText="1"/>
      <protection hidden="1"/>
    </xf>
    <xf numFmtId="0" fontId="5" fillId="33" borderId="23" xfId="53" applyFont="1" applyFill="1" applyBorder="1" applyProtection="1">
      <alignment/>
      <protection hidden="1"/>
    </xf>
    <xf numFmtId="0" fontId="5" fillId="33" borderId="13" xfId="53" applyFont="1" applyFill="1" applyBorder="1" applyProtection="1">
      <alignment/>
      <protection hidden="1"/>
    </xf>
    <xf numFmtId="0" fontId="11" fillId="33" borderId="10" xfId="53" applyFont="1" applyFill="1" applyBorder="1" applyAlignment="1" applyProtection="1">
      <alignment horizontal="left"/>
      <protection hidden="1"/>
    </xf>
    <xf numFmtId="0" fontId="3" fillId="34" borderId="23" xfId="53" applyFont="1" applyFill="1" applyBorder="1" applyAlignment="1" applyProtection="1">
      <alignment horizontal="center" vertical="center"/>
      <protection hidden="1"/>
    </xf>
    <xf numFmtId="0" fontId="2" fillId="33" borderId="0" xfId="53" applyFill="1" applyBorder="1">
      <alignment/>
      <protection/>
    </xf>
    <xf numFmtId="0" fontId="4" fillId="33" borderId="0" xfId="53" applyFont="1" applyFill="1" applyBorder="1" applyAlignment="1" applyProtection="1">
      <alignment/>
      <protection hidden="1"/>
    </xf>
    <xf numFmtId="0" fontId="7" fillId="33" borderId="25" xfId="53" applyFont="1" applyFill="1" applyBorder="1" applyAlignment="1" applyProtection="1">
      <alignment horizontal="left"/>
      <protection hidden="1"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32" xfId="53" applyFill="1" applyBorder="1" applyProtection="1">
      <alignment/>
      <protection hidden="1"/>
    </xf>
    <xf numFmtId="0" fontId="13" fillId="34" borderId="24" xfId="0" applyFont="1" applyFill="1" applyBorder="1" applyAlignment="1">
      <alignment horizontal="center"/>
    </xf>
    <xf numFmtId="0" fontId="2" fillId="33" borderId="44" xfId="53" applyFont="1" applyFill="1" applyBorder="1" applyProtection="1">
      <alignment/>
      <protection hidden="1"/>
    </xf>
    <xf numFmtId="0" fontId="12" fillId="33" borderId="12" xfId="53" applyFont="1" applyFill="1" applyBorder="1" applyAlignment="1">
      <alignment horizontal="left"/>
      <protection/>
    </xf>
    <xf numFmtId="0" fontId="12" fillId="33" borderId="12" xfId="53" applyFont="1" applyFill="1" applyBorder="1" applyAlignment="1">
      <alignment horizontal="center"/>
      <protection/>
    </xf>
    <xf numFmtId="0" fontId="3" fillId="33" borderId="11" xfId="53" applyFont="1" applyFill="1" applyBorder="1" applyAlignment="1" applyProtection="1">
      <alignment horizontal="center"/>
      <protection hidden="1"/>
    </xf>
    <xf numFmtId="0" fontId="2" fillId="33" borderId="16" xfId="53" applyFill="1" applyBorder="1" applyProtection="1">
      <alignment/>
      <protection hidden="1"/>
    </xf>
    <xf numFmtId="0" fontId="2" fillId="33" borderId="28" xfId="53" applyFill="1" applyBorder="1" applyAlignment="1" applyProtection="1">
      <alignment horizontal="left"/>
      <protection hidden="1"/>
    </xf>
    <xf numFmtId="0" fontId="2" fillId="33" borderId="0" xfId="53" applyFill="1" applyBorder="1" applyAlignment="1" applyProtection="1">
      <alignment horizontal="left"/>
      <protection hidden="1"/>
    </xf>
    <xf numFmtId="0" fontId="7" fillId="33" borderId="12" xfId="53" applyFont="1" applyFill="1" applyBorder="1" applyAlignment="1">
      <alignment horizontal="left"/>
      <protection/>
    </xf>
    <xf numFmtId="0" fontId="2" fillId="33" borderId="16" xfId="53" applyFill="1" applyBorder="1" applyAlignment="1" applyProtection="1">
      <alignment horizontal="left"/>
      <protection hidden="1"/>
    </xf>
    <xf numFmtId="0" fontId="7" fillId="33" borderId="11" xfId="53" applyFont="1" applyFill="1" applyBorder="1" applyAlignment="1">
      <alignment horizontal="left"/>
      <protection/>
    </xf>
    <xf numFmtId="0" fontId="2" fillId="33" borderId="12" xfId="53" applyFont="1" applyFill="1" applyBorder="1">
      <alignment/>
      <protection/>
    </xf>
    <xf numFmtId="0" fontId="49" fillId="33" borderId="11" xfId="53" applyFont="1" applyFill="1" applyBorder="1" applyAlignment="1" applyProtection="1">
      <alignment horizontal="right"/>
      <protection hidden="1"/>
    </xf>
    <xf numFmtId="0" fontId="7" fillId="33" borderId="14" xfId="53" applyFont="1" applyFill="1" applyBorder="1" applyAlignment="1" applyProtection="1">
      <alignment horizontal="left"/>
      <protection hidden="1"/>
    </xf>
    <xf numFmtId="0" fontId="6" fillId="33" borderId="0" xfId="53" applyFont="1" applyFill="1" applyBorder="1" applyAlignment="1" applyProtection="1">
      <alignment/>
      <protection hidden="1"/>
    </xf>
    <xf numFmtId="0" fontId="6" fillId="33" borderId="10" xfId="0" applyFont="1" applyFill="1" applyBorder="1" applyAlignment="1">
      <alignment horizontal="left"/>
    </xf>
    <xf numFmtId="0" fontId="34" fillId="33" borderId="14" xfId="53" applyFont="1" applyFill="1" applyBorder="1" applyProtection="1">
      <alignment/>
      <protection hidden="1"/>
    </xf>
    <xf numFmtId="0" fontId="12" fillId="33" borderId="15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center"/>
    </xf>
    <xf numFmtId="0" fontId="12" fillId="34" borderId="44" xfId="53" applyFont="1" applyFill="1" applyBorder="1" applyAlignment="1" applyProtection="1">
      <alignment horizontal="center"/>
      <protection hidden="1"/>
    </xf>
    <xf numFmtId="0" fontId="12" fillId="34" borderId="34" xfId="53" applyFont="1" applyFill="1" applyBorder="1" applyAlignment="1" applyProtection="1">
      <alignment horizontal="center" vertical="center"/>
      <protection hidden="1"/>
    </xf>
    <xf numFmtId="0" fontId="7" fillId="33" borderId="34" xfId="53" applyFont="1" applyFill="1" applyBorder="1" applyAlignment="1" applyProtection="1">
      <alignment/>
      <protection hidden="1"/>
    </xf>
    <xf numFmtId="0" fontId="7" fillId="33" borderId="32" xfId="53" applyFont="1" applyFill="1" applyBorder="1" applyAlignment="1" applyProtection="1">
      <alignment/>
      <protection hidden="1"/>
    </xf>
    <xf numFmtId="0" fontId="7" fillId="33" borderId="14" xfId="53" applyFont="1" applyFill="1" applyBorder="1" applyAlignment="1">
      <alignment horizontal="left"/>
      <protection/>
    </xf>
    <xf numFmtId="0" fontId="7" fillId="33" borderId="0" xfId="53" applyFont="1" applyFill="1" applyBorder="1" applyProtection="1">
      <alignment/>
      <protection hidden="1"/>
    </xf>
    <xf numFmtId="0" fontId="9" fillId="33" borderId="0" xfId="53" applyFont="1" applyFill="1" applyBorder="1" applyAlignment="1" applyProtection="1">
      <alignment/>
      <protection hidden="1"/>
    </xf>
    <xf numFmtId="0" fontId="14" fillId="33" borderId="45" xfId="53" applyFont="1" applyFill="1" applyBorder="1" applyProtection="1">
      <alignment/>
      <protection hidden="1"/>
    </xf>
    <xf numFmtId="0" fontId="14" fillId="33" borderId="45" xfId="53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8" fillId="33" borderId="29" xfId="53" applyFont="1" applyFill="1" applyBorder="1" applyAlignment="1">
      <alignment horizontal="left"/>
      <protection/>
    </xf>
    <xf numFmtId="0" fontId="8" fillId="33" borderId="30" xfId="53" applyFont="1" applyFill="1" applyBorder="1" applyAlignment="1">
      <alignment horizontal="left"/>
      <protection/>
    </xf>
    <xf numFmtId="0" fontId="0" fillId="0" borderId="30" xfId="0" applyBorder="1" applyAlignment="1">
      <alignment horizontal="left"/>
    </xf>
    <xf numFmtId="0" fontId="6" fillId="33" borderId="32" xfId="53" applyFont="1" applyFill="1" applyBorder="1" applyAlignment="1" applyProtection="1">
      <alignment/>
      <protection hidden="1"/>
    </xf>
    <xf numFmtId="0" fontId="6" fillId="33" borderId="30" xfId="53" applyFont="1" applyFill="1" applyBorder="1" applyAlignment="1" applyProtection="1">
      <alignment/>
      <protection hidden="1"/>
    </xf>
    <xf numFmtId="0" fontId="49" fillId="33" borderId="10" xfId="53" applyFont="1" applyFill="1" applyBorder="1" applyAlignment="1" applyProtection="1">
      <alignment horizontal="left"/>
      <protection hidden="1"/>
    </xf>
    <xf numFmtId="0" fontId="14" fillId="33" borderId="0" xfId="53" applyFont="1" applyFill="1" applyBorder="1" applyProtection="1">
      <alignment/>
      <protection hidden="1"/>
    </xf>
    <xf numFmtId="0" fontId="29" fillId="33" borderId="20" xfId="0" applyFont="1" applyFill="1" applyBorder="1" applyAlignment="1">
      <alignment horizontal="left"/>
    </xf>
    <xf numFmtId="0" fontId="12" fillId="33" borderId="15" xfId="53" applyFont="1" applyFill="1" applyBorder="1" applyAlignment="1" applyProtection="1">
      <alignment wrapText="1"/>
      <protection hidden="1"/>
    </xf>
    <xf numFmtId="0" fontId="2" fillId="33" borderId="15" xfId="53" applyFont="1" applyFill="1" applyBorder="1" applyAlignment="1" applyProtection="1">
      <alignment wrapText="1"/>
      <protection hidden="1"/>
    </xf>
    <xf numFmtId="0" fontId="12" fillId="33" borderId="11" xfId="53" applyFont="1" applyFill="1" applyBorder="1" applyAlignment="1" applyProtection="1">
      <alignment horizontal="center" wrapText="1"/>
      <protection hidden="1"/>
    </xf>
    <xf numFmtId="0" fontId="2" fillId="33" borderId="11" xfId="53" applyFont="1" applyFill="1" applyBorder="1" applyAlignment="1" applyProtection="1">
      <alignment wrapText="1"/>
      <protection hidden="1"/>
    </xf>
    <xf numFmtId="0" fontId="27" fillId="33" borderId="11" xfId="53" applyFont="1" applyFill="1" applyBorder="1" applyAlignment="1" applyProtection="1">
      <alignment horizontal="center" wrapText="1"/>
      <protection hidden="1"/>
    </xf>
    <xf numFmtId="0" fontId="2" fillId="33" borderId="11" xfId="53" applyFont="1" applyFill="1" applyBorder="1" applyAlignment="1" applyProtection="1">
      <alignment horizontal="left" wrapText="1"/>
      <protection hidden="1"/>
    </xf>
    <xf numFmtId="0" fontId="28" fillId="33" borderId="11" xfId="53" applyFont="1" applyFill="1" applyBorder="1" applyAlignment="1" applyProtection="1">
      <alignment wrapText="1"/>
      <protection hidden="1"/>
    </xf>
    <xf numFmtId="0" fontId="23" fillId="33" borderId="11" xfId="53" applyFont="1" applyFill="1" applyBorder="1" applyAlignment="1">
      <alignment horizontal="center" wrapText="1"/>
      <protection/>
    </xf>
    <xf numFmtId="0" fontId="12" fillId="34" borderId="37" xfId="53" applyNumberFormat="1" applyFont="1" applyFill="1" applyBorder="1" applyAlignment="1" applyProtection="1">
      <alignment vertical="center"/>
      <protection hidden="1"/>
    </xf>
    <xf numFmtId="0" fontId="12" fillId="34" borderId="46" xfId="53" applyNumberFormat="1" applyFont="1" applyFill="1" applyBorder="1" applyAlignment="1" applyProtection="1">
      <alignment vertical="center"/>
      <protection hidden="1"/>
    </xf>
    <xf numFmtId="0" fontId="12" fillId="34" borderId="37" xfId="53" applyFont="1" applyFill="1" applyBorder="1" applyAlignment="1" applyProtection="1">
      <alignment vertical="center"/>
      <protection hidden="1"/>
    </xf>
    <xf numFmtId="0" fontId="12" fillId="34" borderId="46" xfId="53" applyFont="1" applyFill="1" applyBorder="1" applyAlignment="1" applyProtection="1">
      <alignment vertical="center"/>
      <protection hidden="1"/>
    </xf>
    <xf numFmtId="0" fontId="54" fillId="33" borderId="10" xfId="53" applyFont="1" applyFill="1" applyBorder="1" applyAlignment="1" applyProtection="1">
      <alignment/>
      <protection hidden="1"/>
    </xf>
    <xf numFmtId="0" fontId="54" fillId="33" borderId="0" xfId="53" applyFont="1" applyFill="1" applyBorder="1" applyProtection="1">
      <alignment/>
      <protection hidden="1"/>
    </xf>
    <xf numFmtId="0" fontId="55" fillId="33" borderId="0" xfId="0" applyFont="1" applyFill="1" applyAlignment="1">
      <alignment/>
    </xf>
    <xf numFmtId="0" fontId="55" fillId="0" borderId="0" xfId="0" applyFont="1" applyAlignment="1">
      <alignment/>
    </xf>
    <xf numFmtId="0" fontId="28" fillId="33" borderId="11" xfId="0" applyFont="1" applyFill="1" applyBorder="1" applyAlignment="1">
      <alignment/>
    </xf>
    <xf numFmtId="0" fontId="28" fillId="33" borderId="14" xfId="0" applyFont="1" applyFill="1" applyBorder="1" applyAlignment="1">
      <alignment/>
    </xf>
    <xf numFmtId="0" fontId="56" fillId="33" borderId="18" xfId="53" applyFont="1" applyFill="1" applyBorder="1" applyProtection="1">
      <alignment/>
      <protection hidden="1"/>
    </xf>
    <xf numFmtId="1" fontId="5" fillId="33" borderId="0" xfId="0" applyNumberFormat="1" applyFont="1" applyFill="1" applyBorder="1" applyAlignment="1" applyProtection="1">
      <alignment horizontal="center"/>
      <protection hidden="1"/>
    </xf>
    <xf numFmtId="0" fontId="7" fillId="33" borderId="31" xfId="53" applyFont="1" applyFill="1" applyBorder="1" applyAlignment="1" applyProtection="1">
      <alignment horizontal="left"/>
      <protection hidden="1"/>
    </xf>
    <xf numFmtId="0" fontId="27" fillId="33" borderId="0" xfId="53" applyFont="1" applyFill="1" applyBorder="1" applyAlignment="1">
      <alignment horizontal="center"/>
      <protection/>
    </xf>
    <xf numFmtId="0" fontId="49" fillId="33" borderId="0" xfId="53" applyFont="1" applyFill="1" applyBorder="1" applyAlignment="1" applyProtection="1">
      <alignment horizontal="left"/>
      <protection hidden="1"/>
    </xf>
    <xf numFmtId="0" fontId="6" fillId="33" borderId="11" xfId="53" applyFont="1" applyFill="1" applyBorder="1" applyAlignment="1" applyProtection="1">
      <alignment horizontal="left"/>
      <protection hidden="1"/>
    </xf>
    <xf numFmtId="1" fontId="16" fillId="33" borderId="0" xfId="53" applyNumberFormat="1" applyFont="1" applyFill="1" applyBorder="1" applyAlignment="1" applyProtection="1">
      <alignment horizontal="center"/>
      <protection hidden="1"/>
    </xf>
    <xf numFmtId="0" fontId="3" fillId="34" borderId="17" xfId="53" applyFont="1" applyFill="1" applyBorder="1" applyAlignment="1" applyProtection="1">
      <alignment horizontal="center" vertical="center"/>
      <protection hidden="1"/>
    </xf>
    <xf numFmtId="0" fontId="12" fillId="33" borderId="0" xfId="53" applyFont="1" applyFill="1" applyBorder="1" applyAlignment="1" applyProtection="1">
      <alignment horizontal="left" vertical="center"/>
      <protection hidden="1"/>
    </xf>
    <xf numFmtId="1" fontId="12" fillId="33" borderId="0" xfId="53" applyNumberFormat="1" applyFont="1" applyFill="1" applyBorder="1" applyAlignment="1" applyProtection="1">
      <alignment horizontal="left"/>
      <protection hidden="1"/>
    </xf>
    <xf numFmtId="1" fontId="5" fillId="33" borderId="0" xfId="53" applyNumberFormat="1" applyFont="1" applyFill="1" applyBorder="1" applyAlignment="1" applyProtection="1">
      <alignment/>
      <protection hidden="1"/>
    </xf>
    <xf numFmtId="0" fontId="6" fillId="0" borderId="0" xfId="53" applyFont="1" applyBorder="1" applyAlignment="1" applyProtection="1">
      <alignment horizontal="left"/>
      <protection hidden="1"/>
    </xf>
    <xf numFmtId="0" fontId="30" fillId="33" borderId="10" xfId="53" applyFont="1" applyFill="1" applyBorder="1" applyProtection="1">
      <alignment/>
      <protection hidden="1"/>
    </xf>
    <xf numFmtId="0" fontId="11" fillId="33" borderId="0" xfId="53" applyFont="1" applyFill="1" applyBorder="1" applyAlignment="1" applyProtection="1">
      <alignment horizontal="left"/>
      <protection hidden="1"/>
    </xf>
    <xf numFmtId="0" fontId="12" fillId="34" borderId="11" xfId="53" applyFont="1" applyFill="1" applyBorder="1" applyAlignment="1" applyProtection="1">
      <alignment horizontal="center" vertical="center"/>
      <protection hidden="1"/>
    </xf>
    <xf numFmtId="0" fontId="5" fillId="33" borderId="12" xfId="53" applyFont="1" applyFill="1" applyBorder="1" applyAlignment="1" applyProtection="1">
      <alignment horizontal="center"/>
      <protection hidden="1"/>
    </xf>
    <xf numFmtId="0" fontId="29" fillId="33" borderId="27" xfId="0" applyFont="1" applyFill="1" applyBorder="1" applyAlignment="1">
      <alignment horizontal="center"/>
    </xf>
    <xf numFmtId="0" fontId="5" fillId="33" borderId="27" xfId="53" applyFont="1" applyFill="1" applyBorder="1" applyProtection="1">
      <alignment/>
      <protection hidden="1"/>
    </xf>
    <xf numFmtId="0" fontId="6" fillId="33" borderId="0" xfId="0" applyFont="1" applyFill="1" applyAlignment="1">
      <alignment/>
    </xf>
    <xf numFmtId="0" fontId="47" fillId="33" borderId="21" xfId="0" applyFont="1" applyFill="1" applyBorder="1" applyAlignment="1">
      <alignment horizontal="center"/>
    </xf>
    <xf numFmtId="0" fontId="29" fillId="33" borderId="20" xfId="0" applyFont="1" applyFill="1" applyBorder="1" applyAlignment="1">
      <alignment horizontal="center" wrapText="1"/>
    </xf>
    <xf numFmtId="0" fontId="29" fillId="33" borderId="12" xfId="0" applyFont="1" applyFill="1" applyBorder="1" applyAlignment="1">
      <alignment horizontal="center"/>
    </xf>
    <xf numFmtId="0" fontId="16" fillId="33" borderId="16" xfId="53" applyFont="1" applyFill="1" applyBorder="1" applyAlignment="1" applyProtection="1">
      <alignment horizontal="left"/>
      <protection hidden="1"/>
    </xf>
    <xf numFmtId="0" fontId="17" fillId="33" borderId="12" xfId="53" applyFont="1" applyFill="1" applyBorder="1" applyAlignment="1" applyProtection="1">
      <alignment horizontal="left"/>
      <protection hidden="1"/>
    </xf>
    <xf numFmtId="0" fontId="17" fillId="33" borderId="16" xfId="53" applyFont="1" applyFill="1" applyBorder="1" applyAlignment="1" applyProtection="1">
      <alignment horizontal="left"/>
      <protection hidden="1"/>
    </xf>
    <xf numFmtId="0" fontId="17" fillId="33" borderId="13" xfId="53" applyFont="1" applyFill="1" applyBorder="1" applyAlignment="1" applyProtection="1">
      <alignment horizontal="left"/>
      <protection hidden="1"/>
    </xf>
    <xf numFmtId="0" fontId="49" fillId="33" borderId="10" xfId="53" applyFont="1" applyFill="1" applyBorder="1" applyAlignment="1" applyProtection="1">
      <alignment horizontal="left"/>
      <protection hidden="1"/>
    </xf>
    <xf numFmtId="0" fontId="2" fillId="33" borderId="13" xfId="53" applyFill="1" applyBorder="1">
      <alignment/>
      <protection/>
    </xf>
    <xf numFmtId="0" fontId="6" fillId="33" borderId="11" xfId="53" applyFont="1" applyFill="1" applyBorder="1" applyAlignment="1" applyProtection="1">
      <alignment horizontal="left"/>
      <protection hidden="1"/>
    </xf>
    <xf numFmtId="0" fontId="12" fillId="33" borderId="43" xfId="53" applyFont="1" applyFill="1" applyBorder="1">
      <alignment/>
      <protection/>
    </xf>
    <xf numFmtId="0" fontId="28" fillId="33" borderId="11" xfId="53" applyFont="1" applyFill="1" applyBorder="1">
      <alignment/>
      <protection/>
    </xf>
    <xf numFmtId="0" fontId="6" fillId="33" borderId="47" xfId="53" applyFont="1" applyFill="1" applyBorder="1" applyAlignment="1">
      <alignment horizontal="left"/>
      <protection/>
    </xf>
    <xf numFmtId="0" fontId="6" fillId="33" borderId="48" xfId="53" applyFont="1" applyFill="1" applyBorder="1" applyAlignment="1">
      <alignment horizontal="left"/>
      <protection/>
    </xf>
    <xf numFmtId="0" fontId="3" fillId="33" borderId="20" xfId="53" applyFont="1" applyFill="1" applyBorder="1" applyAlignment="1" applyProtection="1">
      <alignment horizontal="left"/>
      <protection hidden="1"/>
    </xf>
    <xf numFmtId="0" fontId="6" fillId="33" borderId="11" xfId="53" applyFont="1" applyFill="1" applyBorder="1" applyAlignment="1" applyProtection="1">
      <alignment horizontal="center"/>
      <protection hidden="1"/>
    </xf>
    <xf numFmtId="0" fontId="7" fillId="33" borderId="48" xfId="53" applyFont="1" applyFill="1" applyBorder="1" applyAlignment="1">
      <alignment horizontal="left"/>
      <protection/>
    </xf>
    <xf numFmtId="0" fontId="2" fillId="33" borderId="48" xfId="53" applyFill="1" applyBorder="1">
      <alignment/>
      <protection/>
    </xf>
    <xf numFmtId="0" fontId="6" fillId="33" borderId="0" xfId="53" applyFont="1" applyFill="1" applyBorder="1" applyAlignment="1">
      <alignment horizontal="left"/>
      <protection/>
    </xf>
    <xf numFmtId="0" fontId="20" fillId="33" borderId="13" xfId="53" applyFont="1" applyFill="1" applyBorder="1" applyProtection="1">
      <alignment/>
      <protection hidden="1"/>
    </xf>
    <xf numFmtId="0" fontId="6" fillId="33" borderId="32" xfId="53" applyFont="1" applyFill="1" applyBorder="1" applyAlignment="1" applyProtection="1">
      <alignment horizontal="center"/>
      <protection hidden="1"/>
    </xf>
    <xf numFmtId="0" fontId="12" fillId="34" borderId="49" xfId="53" applyFont="1" applyFill="1" applyBorder="1" applyAlignment="1" applyProtection="1">
      <alignment horizontal="center" vertical="center"/>
      <protection hidden="1"/>
    </xf>
    <xf numFmtId="0" fontId="7" fillId="34" borderId="37" xfId="53" applyFont="1" applyFill="1" applyBorder="1" applyAlignment="1" applyProtection="1">
      <alignment horizontal="center" vertical="center"/>
      <protection hidden="1"/>
    </xf>
    <xf numFmtId="0" fontId="8" fillId="33" borderId="48" xfId="53" applyFont="1" applyFill="1" applyBorder="1" applyAlignment="1" applyProtection="1">
      <alignment horizontal="left"/>
      <protection hidden="1"/>
    </xf>
    <xf numFmtId="0" fontId="7" fillId="33" borderId="22" xfId="53" applyFont="1" applyFill="1" applyBorder="1" applyAlignment="1" applyProtection="1">
      <alignment/>
      <protection hidden="1"/>
    </xf>
    <xf numFmtId="0" fontId="7" fillId="33" borderId="48" xfId="53" applyFont="1" applyFill="1" applyBorder="1" applyAlignment="1" applyProtection="1">
      <alignment/>
      <protection hidden="1"/>
    </xf>
    <xf numFmtId="0" fontId="32" fillId="33" borderId="10" xfId="53" applyFont="1" applyFill="1" applyBorder="1" applyAlignment="1" applyProtection="1">
      <alignment horizontal="center"/>
      <protection hidden="1"/>
    </xf>
    <xf numFmtId="0" fontId="5" fillId="33" borderId="10" xfId="53" applyFont="1" applyFill="1" applyBorder="1" applyAlignment="1" applyProtection="1">
      <alignment/>
      <protection hidden="1"/>
    </xf>
    <xf numFmtId="0" fontId="7" fillId="33" borderId="39" xfId="53" applyFont="1" applyFill="1" applyBorder="1" applyProtection="1">
      <alignment/>
      <protection hidden="1"/>
    </xf>
    <xf numFmtId="0" fontId="2" fillId="33" borderId="14" xfId="53" applyFill="1" applyBorder="1">
      <alignment/>
      <protection/>
    </xf>
    <xf numFmtId="0" fontId="2" fillId="33" borderId="11" xfId="53" applyFont="1" applyFill="1" applyBorder="1" applyAlignment="1">
      <alignment horizontal="left"/>
      <protection/>
    </xf>
    <xf numFmtId="0" fontId="15" fillId="33" borderId="13" xfId="53" applyFont="1" applyFill="1" applyBorder="1" applyProtection="1">
      <alignment/>
      <protection hidden="1"/>
    </xf>
    <xf numFmtId="0" fontId="3" fillId="34" borderId="23" xfId="53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7" fillId="33" borderId="0" xfId="53" applyFont="1" applyFill="1" applyAlignment="1">
      <alignment/>
      <protection/>
    </xf>
    <xf numFmtId="0" fontId="2" fillId="33" borderId="0" xfId="53" applyFont="1" applyFill="1" applyAlignment="1">
      <alignment wrapText="1"/>
      <protection/>
    </xf>
    <xf numFmtId="0" fontId="2" fillId="33" borderId="0" xfId="53" applyFill="1" applyAlignment="1">
      <alignment wrapText="1"/>
      <protection/>
    </xf>
    <xf numFmtId="0" fontId="6" fillId="33" borderId="0" xfId="0" applyFont="1" applyFill="1" applyBorder="1" applyAlignment="1">
      <alignment horizontal="left"/>
    </xf>
    <xf numFmtId="1" fontId="12" fillId="33" borderId="11" xfId="53" applyNumberFormat="1" applyFont="1" applyFill="1" applyBorder="1" applyAlignment="1" applyProtection="1">
      <alignment horizontal="left"/>
      <protection hidden="1"/>
    </xf>
    <xf numFmtId="0" fontId="7" fillId="33" borderId="28" xfId="53" applyFont="1" applyFill="1" applyBorder="1" applyAlignment="1" applyProtection="1">
      <alignment horizontal="left"/>
      <protection hidden="1"/>
    </xf>
    <xf numFmtId="0" fontId="12" fillId="33" borderId="0" xfId="53" applyFont="1" applyFill="1" applyBorder="1" applyAlignment="1" applyProtection="1">
      <alignment/>
      <protection hidden="1"/>
    </xf>
    <xf numFmtId="0" fontId="4" fillId="33" borderId="0" xfId="0" applyFont="1" applyFill="1" applyBorder="1" applyAlignment="1">
      <alignment horizontal="center"/>
    </xf>
    <xf numFmtId="0" fontId="7" fillId="33" borderId="10" xfId="54" applyFont="1" applyFill="1" applyBorder="1" applyProtection="1">
      <alignment/>
      <protection hidden="1"/>
    </xf>
    <xf numFmtId="0" fontId="7" fillId="33" borderId="50" xfId="54" applyFont="1" applyFill="1" applyBorder="1" applyAlignment="1" applyProtection="1">
      <alignment horizontal="left"/>
      <protection hidden="1"/>
    </xf>
    <xf numFmtId="0" fontId="6" fillId="33" borderId="10" xfId="53" applyFont="1" applyFill="1" applyBorder="1" applyAlignment="1">
      <alignment horizontal="left"/>
      <protection/>
    </xf>
    <xf numFmtId="0" fontId="3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112" fillId="33" borderId="0" xfId="0" applyFont="1" applyFill="1" applyAlignment="1">
      <alignment horizontal="left" wrapText="1"/>
    </xf>
    <xf numFmtId="0" fontId="112" fillId="33" borderId="0" xfId="0" applyFont="1" applyFill="1" applyAlignment="1">
      <alignment horizontal="center"/>
    </xf>
    <xf numFmtId="0" fontId="112" fillId="35" borderId="0" xfId="0" applyFont="1" applyFill="1" applyAlignment="1">
      <alignment horizontal="center"/>
    </xf>
    <xf numFmtId="0" fontId="113" fillId="35" borderId="0" xfId="0" applyFont="1" applyFill="1" applyAlignment="1">
      <alignment horizontal="left" indent="3"/>
    </xf>
    <xf numFmtId="0" fontId="5" fillId="33" borderId="0" xfId="53" applyFont="1" applyFill="1" applyAlignment="1" applyProtection="1">
      <alignment/>
      <protection hidden="1"/>
    </xf>
    <xf numFmtId="0" fontId="0" fillId="33" borderId="0" xfId="0" applyFill="1" applyAlignment="1">
      <alignment/>
    </xf>
    <xf numFmtId="0" fontId="54" fillId="33" borderId="0" xfId="53" applyFont="1" applyFill="1" applyBorder="1" applyAlignment="1" applyProtection="1">
      <alignment/>
      <protection hidden="1"/>
    </xf>
    <xf numFmtId="0" fontId="5" fillId="33" borderId="0" xfId="53" applyFont="1" applyFill="1" applyBorder="1" applyAlignment="1">
      <alignment/>
      <protection/>
    </xf>
    <xf numFmtId="0" fontId="5" fillId="33" borderId="11" xfId="53" applyFont="1" applyFill="1" applyBorder="1" applyAlignment="1" applyProtection="1">
      <alignment/>
      <protection hidden="1"/>
    </xf>
    <xf numFmtId="0" fontId="5" fillId="33" borderId="0" xfId="53" applyFont="1" applyFill="1" applyAlignment="1" applyProtection="1">
      <alignment/>
      <protection hidden="1"/>
    </xf>
    <xf numFmtId="0" fontId="2" fillId="33" borderId="0" xfId="53" applyFill="1" applyAlignment="1">
      <alignment/>
      <protection/>
    </xf>
    <xf numFmtId="0" fontId="5" fillId="33" borderId="0" xfId="53" applyFont="1" applyFill="1" applyAlignment="1">
      <alignment/>
      <protection/>
    </xf>
    <xf numFmtId="0" fontId="10" fillId="33" borderId="0" xfId="53" applyFont="1" applyFill="1" applyBorder="1" applyAlignment="1" applyProtection="1">
      <alignment/>
      <protection hidden="1"/>
    </xf>
    <xf numFmtId="0" fontId="13" fillId="33" borderId="0" xfId="53" applyFont="1" applyFill="1" applyAlignment="1" applyProtection="1">
      <alignment/>
      <protection hidden="1"/>
    </xf>
    <xf numFmtId="0" fontId="10" fillId="33" borderId="0" xfId="53" applyFont="1" applyFill="1" applyAlignment="1" applyProtection="1">
      <alignment/>
      <protection hidden="1"/>
    </xf>
    <xf numFmtId="0" fontId="2" fillId="33" borderId="0" xfId="53" applyFill="1" applyBorder="1" applyAlignment="1">
      <alignment/>
      <protection/>
    </xf>
    <xf numFmtId="0" fontId="5" fillId="33" borderId="31" xfId="53" applyFont="1" applyFill="1" applyBorder="1" applyAlignment="1" applyProtection="1">
      <alignment/>
      <protection hidden="1"/>
    </xf>
    <xf numFmtId="0" fontId="10" fillId="33" borderId="0" xfId="53" applyFont="1" applyFill="1" applyBorder="1" applyAlignment="1" applyProtection="1">
      <alignment/>
      <protection hidden="1"/>
    </xf>
    <xf numFmtId="0" fontId="5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/>
      <protection hidden="1"/>
    </xf>
    <xf numFmtId="0" fontId="5" fillId="33" borderId="0" xfId="0" applyFont="1" applyFill="1" applyAlignment="1">
      <alignment/>
    </xf>
    <xf numFmtId="0" fontId="2" fillId="0" borderId="0" xfId="53" applyAlignment="1">
      <alignment/>
      <protection/>
    </xf>
    <xf numFmtId="0" fontId="4" fillId="33" borderId="0" xfId="53" applyFont="1" applyFill="1" applyAlignment="1" applyProtection="1">
      <alignment/>
      <protection hidden="1"/>
    </xf>
    <xf numFmtId="1" fontId="5" fillId="33" borderId="11" xfId="53" applyNumberFormat="1" applyFont="1" applyFill="1" applyBorder="1" applyAlignment="1" applyProtection="1">
      <alignment/>
      <protection hidden="1"/>
    </xf>
    <xf numFmtId="0" fontId="6" fillId="33" borderId="0" xfId="53" applyFont="1" applyFill="1" applyBorder="1" applyAlignment="1">
      <alignment/>
      <protection/>
    </xf>
    <xf numFmtId="0" fontId="12" fillId="33" borderId="11" xfId="53" applyFont="1" applyFill="1" applyBorder="1" applyAlignment="1" applyProtection="1">
      <alignment/>
      <protection hidden="1"/>
    </xf>
    <xf numFmtId="1" fontId="5" fillId="33" borderId="10" xfId="53" applyNumberFormat="1" applyFont="1" applyFill="1" applyBorder="1" applyAlignment="1" applyProtection="1">
      <alignment/>
      <protection hidden="1"/>
    </xf>
    <xf numFmtId="1" fontId="12" fillId="33" borderId="11" xfId="53" applyNumberFormat="1" applyFont="1" applyFill="1" applyBorder="1" applyAlignment="1" applyProtection="1">
      <alignment/>
      <protection hidden="1"/>
    </xf>
    <xf numFmtId="1" fontId="12" fillId="33" borderId="0" xfId="53" applyNumberFormat="1" applyFont="1" applyFill="1" applyBorder="1" applyAlignment="1" applyProtection="1">
      <alignment/>
      <protection hidden="1"/>
    </xf>
    <xf numFmtId="1" fontId="16" fillId="33" borderId="0" xfId="53" applyNumberFormat="1" applyFont="1" applyFill="1" applyBorder="1" applyAlignment="1" applyProtection="1">
      <alignment/>
      <protection hidden="1"/>
    </xf>
    <xf numFmtId="0" fontId="12" fillId="34" borderId="37" xfId="53" applyFont="1" applyFill="1" applyBorder="1" applyAlignment="1" applyProtection="1">
      <alignment/>
      <protection hidden="1"/>
    </xf>
    <xf numFmtId="0" fontId="12" fillId="34" borderId="46" xfId="53" applyFont="1" applyFill="1" applyBorder="1" applyAlignment="1" applyProtection="1">
      <alignment/>
      <protection hidden="1"/>
    </xf>
    <xf numFmtId="0" fontId="12" fillId="33" borderId="11" xfId="53" applyFont="1" applyFill="1" applyBorder="1" applyAlignment="1" applyProtection="1">
      <alignment/>
      <protection hidden="1"/>
    </xf>
    <xf numFmtId="0" fontId="12" fillId="33" borderId="0" xfId="53" applyFont="1" applyFill="1" applyBorder="1" applyAlignment="1" applyProtection="1">
      <alignment/>
      <protection hidden="1"/>
    </xf>
    <xf numFmtId="0" fontId="12" fillId="33" borderId="10" xfId="53" applyFont="1" applyFill="1" applyBorder="1" applyAlignment="1" applyProtection="1">
      <alignment/>
      <protection hidden="1"/>
    </xf>
    <xf numFmtId="0" fontId="8" fillId="33" borderId="0" xfId="53" applyFont="1" applyFill="1" applyBorder="1" applyAlignment="1" applyProtection="1">
      <alignment/>
      <protection hidden="1"/>
    </xf>
    <xf numFmtId="1" fontId="12" fillId="33" borderId="0" xfId="53" applyNumberFormat="1" applyFont="1" applyFill="1" applyBorder="1" applyAlignment="1" applyProtection="1">
      <alignment/>
      <protection hidden="1"/>
    </xf>
    <xf numFmtId="0" fontId="13" fillId="33" borderId="0" xfId="53" applyFont="1" applyFill="1" applyBorder="1" applyAlignment="1" applyProtection="1">
      <alignment/>
      <protection hidden="1"/>
    </xf>
    <xf numFmtId="1" fontId="5" fillId="33" borderId="0" xfId="0" applyNumberFormat="1" applyFont="1" applyFill="1" applyBorder="1" applyAlignment="1" applyProtection="1">
      <alignment/>
      <protection hidden="1"/>
    </xf>
    <xf numFmtId="0" fontId="2" fillId="33" borderId="0" xfId="53" applyFont="1" applyFill="1" applyBorder="1" applyAlignment="1" applyProtection="1">
      <alignment/>
      <protection hidden="1"/>
    </xf>
    <xf numFmtId="0" fontId="2" fillId="33" borderId="11" xfId="53" applyFont="1" applyFill="1" applyBorder="1" applyAlignment="1" applyProtection="1">
      <alignment/>
      <protection hidden="1"/>
    </xf>
    <xf numFmtId="1" fontId="41" fillId="33" borderId="0" xfId="53" applyNumberFormat="1" applyFont="1" applyFill="1" applyBorder="1" applyAlignment="1">
      <alignment/>
      <protection/>
    </xf>
    <xf numFmtId="0" fontId="8" fillId="33" borderId="0" xfId="53" applyFont="1" applyFill="1" applyBorder="1" applyAlignment="1" applyProtection="1">
      <alignment/>
      <protection hidden="1"/>
    </xf>
    <xf numFmtId="0" fontId="8" fillId="33" borderId="11" xfId="53" applyFont="1" applyFill="1" applyBorder="1" applyAlignment="1" applyProtection="1">
      <alignment/>
      <protection hidden="1"/>
    </xf>
    <xf numFmtId="1" fontId="5" fillId="33" borderId="12" xfId="53" applyNumberFormat="1" applyFont="1" applyFill="1" applyBorder="1" applyAlignment="1" applyProtection="1">
      <alignment/>
      <protection hidden="1"/>
    </xf>
    <xf numFmtId="1" fontId="5" fillId="33" borderId="13" xfId="53" applyNumberFormat="1" applyFont="1" applyFill="1" applyBorder="1" applyAlignment="1" applyProtection="1">
      <alignment/>
      <protection hidden="1"/>
    </xf>
    <xf numFmtId="0" fontId="12" fillId="33" borderId="31" xfId="53" applyFont="1" applyFill="1" applyBorder="1" applyAlignment="1" applyProtection="1">
      <alignment/>
      <protection hidden="1"/>
    </xf>
    <xf numFmtId="0" fontId="12" fillId="33" borderId="0" xfId="53" applyFont="1" applyFill="1" applyBorder="1" applyAlignment="1" applyProtection="1">
      <alignment wrapText="1"/>
      <protection hidden="1"/>
    </xf>
    <xf numFmtId="0" fontId="4" fillId="36" borderId="0" xfId="0" applyFont="1" applyFill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5" fillId="36" borderId="0" xfId="0" applyFont="1" applyFill="1" applyAlignment="1">
      <alignment horizontal="left" vertical="top"/>
    </xf>
    <xf numFmtId="0" fontId="35" fillId="36" borderId="0" xfId="0" applyFont="1" applyFill="1" applyAlignment="1">
      <alignment horizontal="left" wrapText="1"/>
    </xf>
    <xf numFmtId="0" fontId="5" fillId="35" borderId="0" xfId="53" applyFont="1" applyFill="1" applyBorder="1" applyAlignment="1" applyProtection="1">
      <alignment/>
      <protection hidden="1"/>
    </xf>
    <xf numFmtId="0" fontId="0" fillId="35" borderId="0" xfId="0" applyFill="1" applyAlignment="1">
      <alignment/>
    </xf>
    <xf numFmtId="0" fontId="5" fillId="35" borderId="0" xfId="53" applyFont="1" applyFill="1" applyBorder="1" applyAlignment="1" applyProtection="1">
      <alignment/>
      <protection hidden="1"/>
    </xf>
    <xf numFmtId="0" fontId="5" fillId="35" borderId="0" xfId="53" applyFont="1" applyFill="1" applyAlignment="1" applyProtection="1">
      <alignment/>
      <protection hidden="1"/>
    </xf>
    <xf numFmtId="0" fontId="5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7" fillId="33" borderId="35" xfId="53" applyFont="1" applyFill="1" applyBorder="1" applyAlignment="1" applyProtection="1">
      <alignment horizontal="left"/>
      <protection hidden="1"/>
    </xf>
    <xf numFmtId="0" fontId="5" fillId="36" borderId="0" xfId="53" applyFont="1" applyFill="1" applyAlignment="1" applyProtection="1">
      <alignment/>
      <protection hidden="1"/>
    </xf>
    <xf numFmtId="0" fontId="0" fillId="36" borderId="0" xfId="0" applyFill="1" applyAlignment="1">
      <alignment/>
    </xf>
    <xf numFmtId="0" fontId="4" fillId="33" borderId="0" xfId="53" applyFont="1" applyFill="1" applyAlignment="1">
      <alignment horizontal="left"/>
      <protection/>
    </xf>
    <xf numFmtId="0" fontId="7" fillId="33" borderId="0" xfId="53" applyFont="1" applyFill="1" applyBorder="1" applyAlignment="1">
      <alignment horizontal="left"/>
      <protection/>
    </xf>
    <xf numFmtId="0" fontId="5" fillId="33" borderId="51" xfId="53" applyFont="1" applyFill="1" applyBorder="1">
      <alignment/>
      <protection/>
    </xf>
    <xf numFmtId="0" fontId="2" fillId="33" borderId="52" xfId="53" applyFont="1" applyFill="1" applyBorder="1" applyAlignment="1">
      <alignment wrapText="1"/>
      <protection/>
    </xf>
    <xf numFmtId="0" fontId="114" fillId="37" borderId="53" xfId="53" applyFont="1" applyFill="1" applyBorder="1" applyAlignment="1">
      <alignment horizontal="left"/>
      <protection/>
    </xf>
    <xf numFmtId="0" fontId="115" fillId="37" borderId="54" xfId="53" applyFont="1" applyFill="1" applyBorder="1" applyAlignment="1">
      <alignment horizontal="center"/>
      <protection/>
    </xf>
    <xf numFmtId="0" fontId="116" fillId="37" borderId="54" xfId="53" applyFont="1" applyFill="1" applyBorder="1">
      <alignment/>
      <protection/>
    </xf>
    <xf numFmtId="0" fontId="117" fillId="37" borderId="55" xfId="53" applyFont="1" applyFill="1" applyBorder="1">
      <alignment/>
      <protection/>
    </xf>
    <xf numFmtId="0" fontId="118" fillId="33" borderId="0" xfId="0" applyFont="1" applyFill="1" applyAlignment="1">
      <alignment horizontal="left" wrapText="1"/>
    </xf>
    <xf numFmtId="0" fontId="118" fillId="33" borderId="0" xfId="0" applyFont="1" applyFill="1" applyAlignment="1">
      <alignment horizontal="center"/>
    </xf>
    <xf numFmtId="0" fontId="119" fillId="33" borderId="0" xfId="53" applyFont="1" applyFill="1" applyBorder="1" applyAlignment="1" applyProtection="1">
      <alignment horizontal="left" wrapText="1"/>
      <protection hidden="1"/>
    </xf>
    <xf numFmtId="0" fontId="120" fillId="0" borderId="0" xfId="0" applyFont="1" applyBorder="1" applyAlignment="1">
      <alignment/>
    </xf>
    <xf numFmtId="0" fontId="44" fillId="33" borderId="20" xfId="0" applyFont="1" applyFill="1" applyBorder="1" applyAlignment="1">
      <alignment horizontal="center"/>
    </xf>
    <xf numFmtId="0" fontId="12" fillId="33" borderId="18" xfId="53" applyFont="1" applyFill="1" applyBorder="1" applyProtection="1">
      <alignment/>
      <protection hidden="1"/>
    </xf>
    <xf numFmtId="0" fontId="6" fillId="33" borderId="56" xfId="53" applyFont="1" applyFill="1" applyBorder="1" applyAlignment="1">
      <alignment horizontal="left"/>
      <protection/>
    </xf>
    <xf numFmtId="0" fontId="6" fillId="38" borderId="0" xfId="53" applyFont="1" applyFill="1" applyAlignment="1">
      <alignment horizontal="left"/>
      <protection/>
    </xf>
    <xf numFmtId="0" fontId="0" fillId="38" borderId="0" xfId="0" applyFill="1" applyAlignment="1">
      <alignment/>
    </xf>
    <xf numFmtId="0" fontId="5" fillId="38" borderId="0" xfId="53" applyFont="1" applyFill="1" applyAlignment="1" applyProtection="1">
      <alignment/>
      <protection hidden="1"/>
    </xf>
    <xf numFmtId="0" fontId="121" fillId="38" borderId="0" xfId="53" applyFont="1" applyFill="1" applyAlignment="1">
      <alignment horizontal="left"/>
      <protection/>
    </xf>
    <xf numFmtId="0" fontId="122" fillId="38" borderId="0" xfId="0" applyFont="1" applyFill="1" applyAlignment="1">
      <alignment/>
    </xf>
    <xf numFmtId="0" fontId="123" fillId="38" borderId="0" xfId="53" applyFont="1" applyFill="1" applyAlignment="1" applyProtection="1">
      <alignment/>
      <protection hidden="1"/>
    </xf>
    <xf numFmtId="0" fontId="5" fillId="35" borderId="0" xfId="53" applyFont="1" applyFill="1" applyBorder="1" applyProtection="1">
      <alignment/>
      <protection hidden="1"/>
    </xf>
    <xf numFmtId="0" fontId="31" fillId="35" borderId="0" xfId="0" applyFont="1" applyFill="1" applyAlignment="1">
      <alignment horizontal="left"/>
    </xf>
    <xf numFmtId="0" fontId="7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11" fillId="35" borderId="10" xfId="53" applyFont="1" applyFill="1" applyBorder="1" applyAlignment="1" applyProtection="1">
      <alignment horizontal="left"/>
      <protection hidden="1"/>
    </xf>
    <xf numFmtId="0" fontId="12" fillId="33" borderId="10" xfId="53" applyFont="1" applyFill="1" applyBorder="1" applyAlignment="1" applyProtection="1">
      <alignment horizontal="center" vertic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11" xfId="53" applyNumberFormat="1" applyFont="1" applyFill="1" applyBorder="1" applyAlignment="1" applyProtection="1">
      <alignment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/>
      <protection hidden="1"/>
    </xf>
    <xf numFmtId="0" fontId="12" fillId="35" borderId="0" xfId="53" applyFont="1" applyFill="1" applyBorder="1" applyAlignment="1" applyProtection="1">
      <alignment horizontal="left"/>
      <protection hidden="1"/>
    </xf>
    <xf numFmtId="0" fontId="12" fillId="35" borderId="0" xfId="53" applyFont="1" applyFill="1" applyBorder="1" applyAlignment="1" applyProtection="1">
      <alignment/>
      <protection hidden="1"/>
    </xf>
    <xf numFmtId="0" fontId="13" fillId="35" borderId="0" xfId="53" applyFont="1" applyFill="1" applyBorder="1" applyAlignment="1" applyProtection="1">
      <alignment horizontal="center"/>
      <protection hidden="1"/>
    </xf>
    <xf numFmtId="0" fontId="13" fillId="35" borderId="0" xfId="53" applyFont="1" applyFill="1" applyBorder="1" applyAlignment="1" applyProtection="1">
      <alignment/>
      <protection hidden="1"/>
    </xf>
    <xf numFmtId="0" fontId="12" fillId="35" borderId="11" xfId="53" applyFont="1" applyFill="1" applyBorder="1" applyAlignment="1" applyProtection="1">
      <alignment horizontal="left"/>
      <protection hidden="1"/>
    </xf>
    <xf numFmtId="0" fontId="13" fillId="35" borderId="11" xfId="53" applyFont="1" applyFill="1" applyBorder="1" applyAlignment="1" applyProtection="1">
      <alignment horizontal="center"/>
      <protection hidden="1"/>
    </xf>
    <xf numFmtId="0" fontId="11" fillId="33" borderId="10" xfId="53" applyFont="1" applyFill="1" applyBorder="1" applyAlignment="1" applyProtection="1">
      <alignment horizontal="left"/>
      <protection hidden="1"/>
    </xf>
    <xf numFmtId="0" fontId="12" fillId="35" borderId="11" xfId="53" applyFont="1" applyFill="1" applyBorder="1" applyAlignment="1" applyProtection="1">
      <alignment/>
      <protection hidden="1"/>
    </xf>
    <xf numFmtId="0" fontId="12" fillId="34" borderId="35" xfId="53" applyFont="1" applyFill="1" applyBorder="1" applyAlignment="1" applyProtection="1">
      <alignment vertical="center"/>
      <protection hidden="1"/>
    </xf>
    <xf numFmtId="0" fontId="6" fillId="35" borderId="0" xfId="53" applyFont="1" applyFill="1" applyBorder="1" applyAlignment="1" applyProtection="1">
      <alignment/>
      <protection hidden="1"/>
    </xf>
    <xf numFmtId="0" fontId="3" fillId="33" borderId="29" xfId="53" applyFont="1" applyFill="1" applyBorder="1" applyProtection="1">
      <alignment/>
      <protection hidden="1"/>
    </xf>
    <xf numFmtId="0" fontId="0" fillId="35" borderId="0" xfId="0" applyFill="1" applyBorder="1" applyAlignment="1">
      <alignment/>
    </xf>
    <xf numFmtId="0" fontId="12" fillId="35" borderId="0" xfId="53" applyFont="1" applyFill="1" applyBorder="1" applyAlignment="1" applyProtection="1">
      <alignment vertical="center"/>
      <protection hidden="1"/>
    </xf>
    <xf numFmtId="0" fontId="12" fillId="35" borderId="11" xfId="53" applyFont="1" applyFill="1" applyBorder="1" applyAlignment="1" applyProtection="1">
      <alignment vertical="center"/>
      <protection hidden="1"/>
    </xf>
    <xf numFmtId="0" fontId="12" fillId="35" borderId="0" xfId="53" applyFont="1" applyFill="1" applyBorder="1" applyAlignment="1" applyProtection="1">
      <alignment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9" fillId="33" borderId="13" xfId="53" applyFont="1" applyFill="1" applyBorder="1" applyProtection="1">
      <alignment/>
      <protection hidden="1"/>
    </xf>
    <xf numFmtId="1" fontId="8" fillId="39" borderId="0" xfId="0" applyNumberFormat="1" applyFont="1" applyFill="1" applyBorder="1" applyAlignment="1">
      <alignment horizontal="left" vertical="center"/>
    </xf>
    <xf numFmtId="0" fontId="6" fillId="35" borderId="11" xfId="53" applyFont="1" applyFill="1" applyBorder="1" applyAlignment="1" applyProtection="1">
      <alignment horizontal="left"/>
      <protection hidden="1"/>
    </xf>
    <xf numFmtId="0" fontId="6" fillId="35" borderId="0" xfId="53" applyFont="1" applyFill="1" applyBorder="1" applyAlignment="1" applyProtection="1">
      <alignment horizontal="left"/>
      <protection hidden="1"/>
    </xf>
    <xf numFmtId="0" fontId="6" fillId="33" borderId="10" xfId="53" applyFont="1" applyFill="1" applyBorder="1" applyAlignment="1">
      <alignment horizontal="left"/>
      <protection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6" fillId="35" borderId="30" xfId="53" applyFont="1" applyFill="1" applyBorder="1" applyAlignment="1" applyProtection="1">
      <alignment horizontal="left"/>
      <protection hidden="1"/>
    </xf>
    <xf numFmtId="0" fontId="124" fillId="33" borderId="20" xfId="0" applyFont="1" applyFill="1" applyBorder="1" applyAlignment="1">
      <alignment horizontal="center"/>
    </xf>
    <xf numFmtId="0" fontId="12" fillId="35" borderId="0" xfId="53" applyFont="1" applyFill="1" applyBorder="1" applyAlignment="1" applyProtection="1">
      <alignment horizontal="left" vertical="center"/>
      <protection hidden="1"/>
    </xf>
    <xf numFmtId="0" fontId="12" fillId="35" borderId="0" xfId="53" applyFont="1" applyFill="1" applyBorder="1" applyAlignment="1" applyProtection="1">
      <alignment/>
      <protection hidden="1"/>
    </xf>
    <xf numFmtId="0" fontId="12" fillId="35" borderId="11" xfId="53" applyFont="1" applyFill="1" applyBorder="1" applyAlignment="1" applyProtection="1">
      <alignment horizontal="left" vertical="center"/>
      <protection hidden="1"/>
    </xf>
    <xf numFmtId="0" fontId="0" fillId="35" borderId="10" xfId="0" applyFill="1" applyBorder="1" applyAlignment="1">
      <alignment/>
    </xf>
    <xf numFmtId="0" fontId="8" fillId="33" borderId="0" xfId="53" applyFont="1" applyFill="1" applyBorder="1" applyAlignment="1">
      <alignment horizontal="left"/>
      <protection/>
    </xf>
    <xf numFmtId="0" fontId="5" fillId="33" borderId="0" xfId="53" applyFont="1" applyFill="1" applyBorder="1" applyAlignment="1" applyProtection="1">
      <alignment horizontal="left"/>
      <protection hidden="1"/>
    </xf>
    <xf numFmtId="0" fontId="12" fillId="35" borderId="0" xfId="53" applyFont="1" applyFill="1" applyBorder="1" applyAlignment="1" applyProtection="1">
      <alignment/>
      <protection hidden="1"/>
    </xf>
    <xf numFmtId="0" fontId="51" fillId="33" borderId="18" xfId="53" applyFont="1" applyFill="1" applyBorder="1" applyAlignment="1" applyProtection="1">
      <alignment horizontal="left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0" fillId="33" borderId="11" xfId="0" applyFill="1" applyBorder="1" applyAlignment="1">
      <alignment/>
    </xf>
    <xf numFmtId="0" fontId="7" fillId="33" borderId="0" xfId="54" applyFont="1" applyFill="1" applyBorder="1" applyProtection="1">
      <alignment/>
      <protection hidden="1"/>
    </xf>
    <xf numFmtId="0" fontId="58" fillId="33" borderId="12" xfId="53" applyFont="1" applyFill="1" applyBorder="1" applyAlignment="1" applyProtection="1">
      <alignment horizontal="left"/>
      <protection hidden="1"/>
    </xf>
    <xf numFmtId="0" fontId="59" fillId="33" borderId="12" xfId="53" applyFont="1" applyFill="1" applyBorder="1" applyProtection="1">
      <alignment/>
      <protection hidden="1"/>
    </xf>
    <xf numFmtId="0" fontId="58" fillId="33" borderId="12" xfId="53" applyFont="1" applyFill="1" applyBorder="1" applyProtection="1">
      <alignment/>
      <protection hidden="1"/>
    </xf>
    <xf numFmtId="0" fontId="58" fillId="33" borderId="13" xfId="53" applyFont="1" applyFill="1" applyBorder="1">
      <alignment/>
      <protection/>
    </xf>
    <xf numFmtId="0" fontId="18" fillId="33" borderId="11" xfId="0" applyFont="1" applyFill="1" applyBorder="1" applyAlignment="1">
      <alignment horizontal="center"/>
    </xf>
    <xf numFmtId="0" fontId="60" fillId="34" borderId="11" xfId="53" applyFont="1" applyFill="1" applyBorder="1" applyAlignment="1" applyProtection="1">
      <alignment horizontal="center" vertical="center"/>
      <protection hidden="1"/>
    </xf>
    <xf numFmtId="1" fontId="5" fillId="35" borderId="10" xfId="53" applyNumberFormat="1" applyFont="1" applyFill="1" applyBorder="1" applyAlignment="1" applyProtection="1">
      <alignment horizontal="center"/>
      <protection hidden="1"/>
    </xf>
    <xf numFmtId="0" fontId="7" fillId="33" borderId="0" xfId="54" applyFont="1" applyFill="1" applyBorder="1" applyAlignment="1" applyProtection="1">
      <alignment horizontal="left"/>
      <protection hidden="1"/>
    </xf>
    <xf numFmtId="0" fontId="2" fillId="33" borderId="14" xfId="53" applyFont="1" applyFill="1" applyBorder="1" applyAlignment="1" applyProtection="1">
      <alignment horizontal="left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12" fillId="35" borderId="0" xfId="53" applyFont="1" applyFill="1" applyBorder="1" applyAlignment="1" applyProtection="1">
      <alignment/>
      <protection hidden="1"/>
    </xf>
    <xf numFmtId="0" fontId="11" fillId="35" borderId="10" xfId="53" applyFont="1" applyFill="1" applyBorder="1" applyAlignment="1" applyProtection="1">
      <alignment horizontal="left"/>
      <protection hidden="1"/>
    </xf>
    <xf numFmtId="0" fontId="7" fillId="35" borderId="0" xfId="53" applyFont="1" applyFill="1" applyBorder="1" applyProtection="1">
      <alignment/>
      <protection hidden="1"/>
    </xf>
    <xf numFmtId="0" fontId="19" fillId="35" borderId="10" xfId="53" applyFont="1" applyFill="1" applyBorder="1" applyProtection="1">
      <alignment/>
      <protection hidden="1"/>
    </xf>
    <xf numFmtId="0" fontId="15" fillId="35" borderId="10" xfId="53" applyFont="1" applyFill="1" applyBorder="1" applyProtection="1">
      <alignment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12" fillId="35" borderId="0" xfId="53" applyFont="1" applyFill="1" applyBorder="1" applyAlignment="1" applyProtection="1">
      <alignment horizontal="left" vertical="center"/>
      <protection hidden="1"/>
    </xf>
    <xf numFmtId="0" fontId="7" fillId="35" borderId="0" xfId="53" applyFont="1" applyFill="1" applyBorder="1" applyAlignment="1" applyProtection="1">
      <alignment/>
      <protection hidden="1"/>
    </xf>
    <xf numFmtId="1" fontId="16" fillId="35" borderId="0" xfId="53" applyNumberFormat="1" applyFont="1" applyFill="1" applyBorder="1" applyAlignment="1" applyProtection="1">
      <alignment horizontal="center"/>
      <protection hidden="1"/>
    </xf>
    <xf numFmtId="0" fontId="7" fillId="35" borderId="0" xfId="53" applyFont="1" applyFill="1" applyBorder="1" applyAlignment="1" applyProtection="1">
      <alignment horizontal="left"/>
      <protection hidden="1"/>
    </xf>
    <xf numFmtId="0" fontId="11" fillId="35" borderId="0" xfId="53" applyFont="1" applyFill="1" applyBorder="1" applyAlignment="1" applyProtection="1">
      <alignment horizontal="left"/>
      <protection hidden="1"/>
    </xf>
    <xf numFmtId="0" fontId="3" fillId="34" borderId="23" xfId="53" applyFont="1" applyFill="1" applyBorder="1" applyAlignment="1" applyProtection="1">
      <alignment horizontal="center"/>
      <protection hidden="1"/>
    </xf>
    <xf numFmtId="0" fontId="7" fillId="35" borderId="0" xfId="53" applyFont="1" applyFill="1" applyBorder="1" applyAlignment="1" applyProtection="1">
      <alignment horizontal="left"/>
      <protection hidden="1"/>
    </xf>
    <xf numFmtId="1" fontId="16" fillId="35" borderId="0" xfId="53" applyNumberFormat="1" applyFont="1" applyFill="1" applyBorder="1" applyAlignment="1" applyProtection="1">
      <alignment horizontal="center"/>
      <protection hidden="1"/>
    </xf>
    <xf numFmtId="0" fontId="12" fillId="33" borderId="20" xfId="53" applyFont="1" applyFill="1" applyBorder="1" applyProtection="1">
      <alignment/>
      <protection hidden="1"/>
    </xf>
    <xf numFmtId="0" fontId="5" fillId="33" borderId="11" xfId="53" applyFont="1" applyFill="1" applyBorder="1" applyAlignment="1" applyProtection="1">
      <alignment horizontal="center" vertical="center"/>
      <protection hidden="1"/>
    </xf>
    <xf numFmtId="0" fontId="13" fillId="34" borderId="29" xfId="0" applyFont="1" applyFill="1" applyBorder="1" applyAlignment="1">
      <alignment horizontal="center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5" fillId="33" borderId="11" xfId="53" applyFont="1" applyFill="1" applyBorder="1" applyAlignment="1">
      <alignment/>
      <protection/>
    </xf>
    <xf numFmtId="0" fontId="2" fillId="33" borderId="11" xfId="53" applyFill="1" applyBorder="1" applyAlignment="1">
      <alignment/>
      <protection/>
    </xf>
    <xf numFmtId="0" fontId="5" fillId="33" borderId="11" xfId="0" applyFont="1" applyFill="1" applyBorder="1" applyAlignment="1">
      <alignment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12" fillId="34" borderId="46" xfId="53" applyFont="1" applyFill="1" applyBorder="1" applyAlignment="1" applyProtection="1">
      <alignment horizontal="center" vertical="center"/>
      <protection hidden="1"/>
    </xf>
    <xf numFmtId="0" fontId="13" fillId="34" borderId="36" xfId="53" applyFont="1" applyFill="1" applyBorder="1" applyAlignment="1" applyProtection="1">
      <alignment horizontal="center"/>
      <protection hidden="1"/>
    </xf>
    <xf numFmtId="0" fontId="51" fillId="0" borderId="25" xfId="53" applyFont="1" applyBorder="1" applyProtection="1">
      <alignment/>
      <protection hidden="1"/>
    </xf>
    <xf numFmtId="0" fontId="6" fillId="35" borderId="29" xfId="53" applyFont="1" applyFill="1" applyBorder="1" applyAlignment="1" applyProtection="1">
      <alignment horizontal="left"/>
      <protection hidden="1"/>
    </xf>
    <xf numFmtId="0" fontId="0" fillId="33" borderId="11" xfId="0" applyFill="1" applyBorder="1" applyAlignment="1">
      <alignment/>
    </xf>
    <xf numFmtId="0" fontId="6" fillId="0" borderId="32" xfId="53" applyFont="1" applyBorder="1" applyAlignment="1" applyProtection="1">
      <alignment horizontal="left"/>
      <protection hidden="1"/>
    </xf>
    <xf numFmtId="0" fontId="7" fillId="33" borderId="22" xfId="53" applyFont="1" applyFill="1" applyBorder="1" applyAlignment="1" applyProtection="1">
      <alignment horizontal="left"/>
      <protection hidden="1"/>
    </xf>
    <xf numFmtId="0" fontId="0" fillId="35" borderId="32" xfId="0" applyFill="1" applyBorder="1" applyAlignment="1">
      <alignment/>
    </xf>
    <xf numFmtId="0" fontId="0" fillId="35" borderId="22" xfId="0" applyFill="1" applyBorder="1" applyAlignment="1">
      <alignment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12" fillId="35" borderId="0" xfId="53" applyFont="1" applyFill="1" applyBorder="1" applyAlignment="1" applyProtection="1">
      <alignment horizontal="left" vertical="center"/>
      <protection hidden="1"/>
    </xf>
    <xf numFmtId="0" fontId="9" fillId="33" borderId="25" xfId="53" applyFont="1" applyFill="1" applyBorder="1" applyProtection="1">
      <alignment/>
      <protection hidden="1"/>
    </xf>
    <xf numFmtId="0" fontId="28" fillId="33" borderId="12" xfId="53" applyFont="1" applyFill="1" applyBorder="1" applyAlignment="1" applyProtection="1">
      <alignment horizontal="left"/>
      <protection hidden="1"/>
    </xf>
    <xf numFmtId="0" fontId="12" fillId="35" borderId="0" xfId="53" applyFont="1" applyFill="1" applyBorder="1" applyAlignment="1" applyProtection="1">
      <alignment/>
      <protection hidden="1"/>
    </xf>
    <xf numFmtId="0" fontId="116" fillId="33" borderId="0" xfId="53" applyFont="1" applyFill="1" applyBorder="1" applyAlignment="1">
      <alignment horizontal="left"/>
      <protection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5" fillId="33" borderId="10" xfId="53" applyFont="1" applyFill="1" applyBorder="1" applyAlignment="1" applyProtection="1">
      <alignment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10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7" fillId="33" borderId="39" xfId="53" applyFont="1" applyFill="1" applyBorder="1" applyAlignment="1" applyProtection="1">
      <alignment horizontal="left"/>
      <protection hidden="1"/>
    </xf>
    <xf numFmtId="0" fontId="6" fillId="35" borderId="44" xfId="53" applyFont="1" applyFill="1" applyBorder="1" applyAlignment="1" applyProtection="1">
      <alignment horizontal="left"/>
      <protection hidden="1"/>
    </xf>
    <xf numFmtId="0" fontId="2" fillId="35" borderId="0" xfId="53" applyFill="1" applyBorder="1">
      <alignment/>
      <protection/>
    </xf>
    <xf numFmtId="0" fontId="6" fillId="35" borderId="10" xfId="53" applyFont="1" applyFill="1" applyBorder="1" applyAlignment="1" applyProtection="1">
      <alignment horizontal="left"/>
      <protection hidden="1"/>
    </xf>
    <xf numFmtId="0" fontId="2" fillId="35" borderId="10" xfId="53" applyFill="1" applyBorder="1">
      <alignment/>
      <protection/>
    </xf>
    <xf numFmtId="0" fontId="53" fillId="0" borderId="39" xfId="0" applyFont="1" applyBorder="1" applyAlignment="1">
      <alignment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4" fillId="33" borderId="0" xfId="53" applyFont="1" applyFill="1" applyBorder="1" applyAlignment="1" applyProtection="1">
      <alignment horizontal="center"/>
      <protection hidden="1"/>
    </xf>
    <xf numFmtId="1" fontId="5" fillId="40" borderId="0" xfId="53" applyNumberFormat="1" applyFont="1" applyFill="1" applyBorder="1" applyAlignment="1" applyProtection="1">
      <alignment horizontal="center"/>
      <protection hidden="1"/>
    </xf>
    <xf numFmtId="0" fontId="5" fillId="40" borderId="0" xfId="53" applyFont="1" applyFill="1">
      <alignment/>
      <protection/>
    </xf>
    <xf numFmtId="0" fontId="5" fillId="40" borderId="0" xfId="53" applyFont="1" applyFill="1" applyAlignment="1" applyProtection="1">
      <alignment/>
      <protection hidden="1"/>
    </xf>
    <xf numFmtId="0" fontId="5" fillId="40" borderId="0" xfId="53" applyFont="1" applyFill="1" applyProtection="1">
      <alignment/>
      <protection hidden="1"/>
    </xf>
    <xf numFmtId="1" fontId="8" fillId="40" borderId="0" xfId="53" applyNumberFormat="1" applyFont="1" applyFill="1" applyBorder="1" applyAlignment="1" applyProtection="1">
      <alignment horizontal="left"/>
      <protection hidden="1"/>
    </xf>
    <xf numFmtId="1" fontId="8" fillId="40" borderId="0" xfId="53" applyNumberFormat="1" applyFont="1" applyFill="1" applyBorder="1" applyAlignment="1" applyProtection="1">
      <alignment wrapText="1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10" xfId="53" applyNumberFormat="1" applyFont="1" applyFill="1" applyBorder="1" applyAlignment="1" applyProtection="1">
      <alignment horizontal="center"/>
      <protection hidden="1"/>
    </xf>
    <xf numFmtId="0" fontId="7" fillId="33" borderId="10" xfId="54" applyFont="1" applyFill="1" applyBorder="1" applyAlignment="1" applyProtection="1">
      <alignment horizontal="left"/>
      <protection hidden="1"/>
    </xf>
    <xf numFmtId="0" fontId="125" fillId="34" borderId="23" xfId="53" applyFont="1" applyFill="1" applyBorder="1" applyAlignment="1" applyProtection="1">
      <alignment horizontal="center" vertical="center"/>
      <protection hidden="1"/>
    </xf>
    <xf numFmtId="1" fontId="5" fillId="35" borderId="10" xfId="53" applyNumberFormat="1" applyFont="1" applyFill="1" applyBorder="1" applyAlignment="1" applyProtection="1">
      <alignment horizontal="center"/>
      <protection hidden="1"/>
    </xf>
    <xf numFmtId="1" fontId="5" fillId="33" borderId="10" xfId="0" applyNumberFormat="1" applyFont="1" applyFill="1" applyBorder="1" applyAlignment="1" applyProtection="1">
      <alignment horizontal="center"/>
      <protection hidden="1"/>
    </xf>
    <xf numFmtId="0" fontId="12" fillId="34" borderId="13" xfId="53" applyFont="1" applyFill="1" applyBorder="1" applyAlignment="1" applyProtection="1">
      <alignment horizontal="center" vertical="center"/>
      <protection hidden="1"/>
    </xf>
    <xf numFmtId="0" fontId="7" fillId="34" borderId="13" xfId="53" applyFont="1" applyFill="1" applyBorder="1" applyAlignment="1" applyProtection="1">
      <alignment horizontal="center" vertical="center"/>
      <protection hidden="1"/>
    </xf>
    <xf numFmtId="0" fontId="126" fillId="33" borderId="20" xfId="0" applyFont="1" applyFill="1" applyBorder="1" applyAlignment="1">
      <alignment horizontal="center"/>
    </xf>
    <xf numFmtId="0" fontId="126" fillId="33" borderId="20" xfId="53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16" fillId="33" borderId="0" xfId="53" applyFont="1" applyFill="1" applyBorder="1" applyAlignment="1" applyProtection="1">
      <alignment horizontal="center"/>
      <protection hidden="1"/>
    </xf>
    <xf numFmtId="0" fontId="127" fillId="35" borderId="0" xfId="0" applyFont="1" applyFill="1" applyAlignment="1">
      <alignment horizontal="center"/>
    </xf>
    <xf numFmtId="0" fontId="29" fillId="35" borderId="20" xfId="0" applyFont="1" applyFill="1" applyBorder="1" applyAlignment="1">
      <alignment horizontal="center"/>
    </xf>
    <xf numFmtId="0" fontId="128" fillId="35" borderId="0" xfId="0" applyFont="1" applyFill="1" applyBorder="1" applyAlignment="1">
      <alignment horizontal="center"/>
    </xf>
    <xf numFmtId="0" fontId="17" fillId="33" borderId="48" xfId="53" applyFont="1" applyFill="1" applyBorder="1" applyAlignment="1" applyProtection="1">
      <alignment horizontal="left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12" fillId="33" borderId="11" xfId="53" applyNumberFormat="1" applyFont="1" applyFill="1" applyBorder="1" applyAlignment="1" applyProtection="1">
      <alignment/>
      <protection hidden="1"/>
    </xf>
    <xf numFmtId="0" fontId="12" fillId="33" borderId="0" xfId="53" applyNumberFormat="1" applyFont="1" applyFill="1" applyBorder="1" applyAlignment="1" applyProtection="1">
      <alignment/>
      <protection hidden="1"/>
    </xf>
    <xf numFmtId="0" fontId="0" fillId="33" borderId="0" xfId="0" applyNumberFormat="1" applyFill="1" applyAlignment="1">
      <alignment/>
    </xf>
    <xf numFmtId="0" fontId="0" fillId="0" borderId="0" xfId="0" applyNumberFormat="1" applyAlignment="1">
      <alignment/>
    </xf>
    <xf numFmtId="0" fontId="49" fillId="33" borderId="39" xfId="53" applyFont="1" applyFill="1" applyBorder="1" applyAlignment="1" applyProtection="1">
      <alignment horizontal="left"/>
      <protection hidden="1"/>
    </xf>
    <xf numFmtId="0" fontId="6" fillId="0" borderId="44" xfId="53" applyFont="1" applyBorder="1" applyAlignment="1" applyProtection="1">
      <alignment horizontal="left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0" fontId="6" fillId="35" borderId="0" xfId="53" applyFont="1" applyFill="1" applyBorder="1" applyAlignment="1" applyProtection="1">
      <alignment horizontal="left"/>
      <protection hidden="1"/>
    </xf>
    <xf numFmtId="0" fontId="5" fillId="35" borderId="11" xfId="53" applyFont="1" applyFill="1" applyBorder="1" applyProtection="1">
      <alignment/>
      <protection hidden="1"/>
    </xf>
    <xf numFmtId="1" fontId="5" fillId="35" borderId="10" xfId="53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26" fillId="33" borderId="0" xfId="53" applyFont="1" applyFill="1" applyBorder="1" applyAlignment="1">
      <alignment horizontal="center"/>
      <protection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10" xfId="53" applyNumberFormat="1" applyFont="1" applyFill="1" applyBorder="1" applyAlignment="1" applyProtection="1">
      <alignment horizontal="center"/>
      <protection hidden="1"/>
    </xf>
    <xf numFmtId="0" fontId="12" fillId="35" borderId="0" xfId="53" applyFont="1" applyFill="1" applyBorder="1" applyAlignment="1" applyProtection="1">
      <alignment/>
      <protection hidden="1"/>
    </xf>
    <xf numFmtId="0" fontId="6" fillId="35" borderId="10" xfId="53" applyFont="1" applyFill="1" applyBorder="1" applyAlignment="1" applyProtection="1">
      <alignment horizontal="left"/>
      <protection hidden="1"/>
    </xf>
    <xf numFmtId="0" fontId="7" fillId="35" borderId="0" xfId="53" applyFont="1" applyFill="1" applyBorder="1" applyAlignment="1" applyProtection="1">
      <alignment horizontal="left"/>
      <protection hidden="1"/>
    </xf>
    <xf numFmtId="0" fontId="6" fillId="35" borderId="0" xfId="53" applyFont="1" applyFill="1" applyBorder="1" applyAlignment="1" applyProtection="1">
      <alignment horizontal="left"/>
      <protection hidden="1"/>
    </xf>
    <xf numFmtId="0" fontId="24" fillId="34" borderId="12" xfId="53" applyFont="1" applyFill="1" applyBorder="1" applyAlignment="1" applyProtection="1">
      <alignment horizontal="left" vertical="center"/>
      <protection hidden="1"/>
    </xf>
    <xf numFmtId="0" fontId="6" fillId="35" borderId="32" xfId="53" applyFont="1" applyFill="1" applyBorder="1" applyAlignment="1" applyProtection="1">
      <alignment horizontal="left"/>
      <protection hidden="1"/>
    </xf>
    <xf numFmtId="1" fontId="5" fillId="35" borderId="11" xfId="0" applyNumberFormat="1" applyFont="1" applyFill="1" applyBorder="1" applyAlignment="1" applyProtection="1">
      <alignment horizont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84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10" xfId="53" applyNumberFormat="1" applyFont="1" applyFill="1" applyBorder="1" applyAlignment="1" applyProtection="1">
      <alignment horizont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" fontId="12" fillId="35" borderId="0" xfId="53" applyNumberFormat="1" applyFont="1" applyFill="1" applyBorder="1" applyAlignment="1" applyProtection="1">
      <alignment horizontal="center"/>
      <protection hidden="1"/>
    </xf>
    <xf numFmtId="0" fontId="2" fillId="35" borderId="11" xfId="53" applyFont="1" applyFill="1" applyBorder="1" applyAlignment="1" applyProtection="1">
      <alignment horizontal="center"/>
      <protection hidden="1"/>
    </xf>
    <xf numFmtId="0" fontId="2" fillId="35" borderId="0" xfId="53" applyFont="1" applyFill="1" applyBorder="1" applyAlignment="1" applyProtection="1">
      <alignment horizontal="center"/>
      <protection hidden="1"/>
    </xf>
    <xf numFmtId="0" fontId="12" fillId="35" borderId="0" xfId="53" applyFont="1" applyFill="1" applyBorder="1" applyAlignment="1" applyProtection="1">
      <alignment horizontal="left" vertical="center"/>
      <protection hidden="1"/>
    </xf>
    <xf numFmtId="0" fontId="17" fillId="33" borderId="32" xfId="53" applyFont="1" applyFill="1" applyBorder="1" applyAlignment="1" applyProtection="1">
      <alignment horizontal="left"/>
      <protection hidden="1"/>
    </xf>
    <xf numFmtId="0" fontId="12" fillId="33" borderId="27" xfId="53" applyFont="1" applyFill="1" applyBorder="1" applyProtection="1">
      <alignment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184" fontId="5" fillId="35" borderId="15" xfId="53" applyNumberFormat="1" applyFont="1" applyFill="1" applyBorder="1" applyAlignment="1" applyProtection="1">
      <alignment horizontal="center"/>
      <protection hidden="1"/>
    </xf>
    <xf numFmtId="0" fontId="5" fillId="33" borderId="32" xfId="53" applyFont="1" applyFill="1" applyBorder="1" applyAlignment="1" applyProtection="1">
      <alignment/>
      <protection hidden="1"/>
    </xf>
    <xf numFmtId="0" fontId="5" fillId="33" borderId="32" xfId="53" applyFont="1" applyFill="1" applyBorder="1" applyProtection="1">
      <alignment/>
      <protection hidden="1"/>
    </xf>
    <xf numFmtId="0" fontId="28" fillId="33" borderId="14" xfId="53" applyFont="1" applyFill="1" applyBorder="1" applyAlignment="1" applyProtection="1">
      <alignment wrapText="1"/>
      <protection hidden="1"/>
    </xf>
    <xf numFmtId="0" fontId="28" fillId="33" borderId="23" xfId="53" applyFont="1" applyFill="1" applyBorder="1">
      <alignment/>
      <protection/>
    </xf>
    <xf numFmtId="0" fontId="2" fillId="33" borderId="34" xfId="53" applyFont="1" applyFill="1" applyBorder="1" applyProtection="1">
      <alignment/>
      <protection hidden="1"/>
    </xf>
    <xf numFmtId="0" fontId="54" fillId="33" borderId="11" xfId="53" applyFont="1" applyFill="1" applyBorder="1" applyProtection="1">
      <alignment/>
      <protection hidden="1"/>
    </xf>
    <xf numFmtId="0" fontId="2" fillId="33" borderId="23" xfId="53" applyFill="1" applyBorder="1" applyProtection="1">
      <alignment/>
      <protection hidden="1"/>
    </xf>
    <xf numFmtId="0" fontId="6" fillId="33" borderId="0" xfId="53" applyFont="1" applyFill="1" applyBorder="1" applyAlignment="1" applyProtection="1">
      <alignment horizontal="left"/>
      <protection hidden="1"/>
    </xf>
    <xf numFmtId="0" fontId="115" fillId="33" borderId="0" xfId="53" applyFont="1" applyFill="1" applyBorder="1" applyProtection="1">
      <alignment/>
      <protection hidden="1"/>
    </xf>
    <xf numFmtId="184" fontId="5" fillId="33" borderId="12" xfId="53" applyNumberFormat="1" applyFont="1" applyFill="1" applyBorder="1" applyAlignment="1" applyProtection="1">
      <alignment horizontal="center"/>
      <protection hidden="1"/>
    </xf>
    <xf numFmtId="184" fontId="5" fillId="33" borderId="13" xfId="53" applyNumberFormat="1" applyFont="1" applyFill="1" applyBorder="1" applyAlignment="1" applyProtection="1">
      <alignment horizontal="center"/>
      <protection hidden="1"/>
    </xf>
    <xf numFmtId="0" fontId="0" fillId="35" borderId="0" xfId="0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" fillId="35" borderId="0" xfId="53" applyFont="1" applyFill="1" applyBorder="1" applyAlignment="1" applyProtection="1">
      <alignment horizontal="center" vertical="center"/>
      <protection hidden="1"/>
    </xf>
    <xf numFmtId="0" fontId="5" fillId="35" borderId="0" xfId="53" applyFont="1" applyFill="1" applyBorder="1" applyAlignment="1" applyProtection="1">
      <alignment horizontal="center" vertical="center"/>
      <protection hidden="1"/>
    </xf>
    <xf numFmtId="0" fontId="8" fillId="35" borderId="0" xfId="53" applyFont="1" applyFill="1" applyBorder="1" applyAlignment="1" applyProtection="1">
      <alignment horizontal="left"/>
      <protection hidden="1"/>
    </xf>
    <xf numFmtId="0" fontId="11" fillId="35" borderId="0" xfId="53" applyFont="1" applyFill="1" applyBorder="1" applyAlignment="1" applyProtection="1">
      <alignment horizontal="left"/>
      <protection hidden="1"/>
    </xf>
    <xf numFmtId="184" fontId="5" fillId="35" borderId="12" xfId="53" applyNumberFormat="1" applyFont="1" applyFill="1" applyBorder="1" applyAlignment="1" applyProtection="1">
      <alignment horizontal="center"/>
      <protection hidden="1"/>
    </xf>
    <xf numFmtId="184" fontId="5" fillId="35" borderId="13" xfId="53" applyNumberFormat="1" applyFont="1" applyFill="1" applyBorder="1" applyAlignment="1" applyProtection="1">
      <alignment horizontal="center"/>
      <protection hidden="1"/>
    </xf>
    <xf numFmtId="1" fontId="41" fillId="33" borderId="11" xfId="53" applyNumberFormat="1" applyFont="1" applyFill="1" applyBorder="1" applyAlignment="1">
      <alignment/>
      <protection/>
    </xf>
    <xf numFmtId="0" fontId="5" fillId="33" borderId="11" xfId="53" applyFont="1" applyFill="1" applyBorder="1" applyAlignment="1" applyProtection="1">
      <alignment/>
      <protection hidden="1"/>
    </xf>
    <xf numFmtId="1" fontId="5" fillId="35" borderId="10" xfId="0" applyNumberFormat="1" applyFont="1" applyFill="1" applyBorder="1" applyAlignment="1" applyProtection="1">
      <alignment horizontal="center"/>
      <protection hidden="1"/>
    </xf>
    <xf numFmtId="1" fontId="5" fillId="35" borderId="0" xfId="0" applyNumberFormat="1" applyFont="1" applyFill="1" applyBorder="1" applyAlignment="1" applyProtection="1">
      <alignment horizontal="center"/>
      <protection hidden="1"/>
    </xf>
    <xf numFmtId="0" fontId="5" fillId="33" borderId="10" xfId="53" applyNumberFormat="1" applyFont="1" applyFill="1" applyBorder="1" applyAlignment="1" applyProtection="1">
      <alignment horizontal="center"/>
      <protection hidden="1"/>
    </xf>
    <xf numFmtId="0" fontId="12" fillId="34" borderId="17" xfId="53" applyFont="1" applyFill="1" applyBorder="1" applyAlignment="1" applyProtection="1">
      <alignment horizontal="center" vertical="center"/>
      <protection hidden="1"/>
    </xf>
    <xf numFmtId="0" fontId="24" fillId="34" borderId="17" xfId="53" applyFont="1" applyFill="1" applyBorder="1" applyAlignment="1" applyProtection="1">
      <alignment horizontal="left" vertic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0" fontId="6" fillId="35" borderId="32" xfId="53" applyFont="1" applyFill="1" applyBorder="1" applyAlignment="1" applyProtection="1">
      <alignment horizontal="left"/>
      <protection hidden="1"/>
    </xf>
    <xf numFmtId="0" fontId="7" fillId="0" borderId="0" xfId="53" applyFont="1" applyBorder="1" applyProtection="1">
      <alignment/>
      <protection hidden="1"/>
    </xf>
    <xf numFmtId="0" fontId="12" fillId="35" borderId="0" xfId="53" applyFont="1" applyFill="1" applyBorder="1" applyAlignment="1" applyProtection="1">
      <alignment horizontal="left"/>
      <protection hidden="1"/>
    </xf>
    <xf numFmtId="0" fontId="53" fillId="35" borderId="0" xfId="0" applyFont="1" applyFill="1" applyBorder="1" applyAlignment="1">
      <alignment horizontal="left"/>
    </xf>
    <xf numFmtId="0" fontId="26" fillId="33" borderId="57" xfId="53" applyFont="1" applyFill="1" applyBorder="1" applyProtection="1">
      <alignment/>
      <protection hidden="1"/>
    </xf>
    <xf numFmtId="0" fontId="20" fillId="33" borderId="31" xfId="53" applyFont="1" applyFill="1" applyBorder="1" applyProtection="1">
      <alignment/>
      <protection hidden="1"/>
    </xf>
    <xf numFmtId="0" fontId="12" fillId="33" borderId="21" xfId="0" applyFont="1" applyFill="1" applyBorder="1" applyAlignment="1">
      <alignment/>
    </xf>
    <xf numFmtId="0" fontId="12" fillId="33" borderId="21" xfId="0" applyFont="1" applyFill="1" applyBorder="1" applyAlignment="1">
      <alignment horizontal="left"/>
    </xf>
    <xf numFmtId="0" fontId="12" fillId="33" borderId="21" xfId="0" applyFont="1" applyFill="1" applyBorder="1" applyAlignment="1">
      <alignment horizontal="center"/>
    </xf>
    <xf numFmtId="0" fontId="5" fillId="33" borderId="11" xfId="53" applyFont="1" applyFill="1" applyBorder="1">
      <alignment/>
      <protection/>
    </xf>
    <xf numFmtId="1" fontId="41" fillId="33" borderId="11" xfId="53" applyNumberFormat="1" applyFont="1" applyFill="1" applyBorder="1" applyAlignment="1">
      <alignment horizontal="center"/>
      <protection/>
    </xf>
    <xf numFmtId="0" fontId="5" fillId="33" borderId="32" xfId="53" applyFont="1" applyFill="1" applyBorder="1" applyAlignment="1" applyProtection="1">
      <alignment/>
      <protection hidden="1"/>
    </xf>
    <xf numFmtId="0" fontId="2" fillId="33" borderId="13" xfId="53" applyFont="1" applyFill="1" applyBorder="1" applyProtection="1">
      <alignment/>
      <protection hidden="1"/>
    </xf>
    <xf numFmtId="1" fontId="16" fillId="35" borderId="11" xfId="53" applyNumberFormat="1" applyFont="1" applyFill="1" applyBorder="1" applyAlignment="1" applyProtection="1">
      <alignment horizontal="center"/>
      <protection hidden="1"/>
    </xf>
    <xf numFmtId="0" fontId="12" fillId="33" borderId="20" xfId="0" applyFont="1" applyFill="1" applyBorder="1" applyAlignment="1">
      <alignment/>
    </xf>
    <xf numFmtId="0" fontId="12" fillId="33" borderId="20" xfId="0" applyFont="1" applyFill="1" applyBorder="1" applyAlignment="1">
      <alignment horizontal="center"/>
    </xf>
    <xf numFmtId="0" fontId="28" fillId="35" borderId="11" xfId="53" applyFont="1" applyFill="1" applyBorder="1" applyProtection="1">
      <alignment/>
      <protection hidden="1"/>
    </xf>
    <xf numFmtId="0" fontId="125" fillId="33" borderId="21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28" fillId="33" borderId="23" xfId="53" applyFont="1" applyFill="1" applyBorder="1" applyProtection="1">
      <alignment/>
      <protection hidden="1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" fontId="12" fillId="35" borderId="11" xfId="53" applyNumberFormat="1" applyFont="1" applyFill="1" applyBorder="1" applyAlignment="1" applyProtection="1">
      <alignment horizontal="center"/>
      <protection hidden="1"/>
    </xf>
    <xf numFmtId="0" fontId="129" fillId="34" borderId="24" xfId="53" applyFont="1" applyFill="1" applyBorder="1" applyAlignment="1" applyProtection="1">
      <alignment horizontal="center"/>
      <protection hidden="1"/>
    </xf>
    <xf numFmtId="0" fontId="52" fillId="33" borderId="0" xfId="53" applyFont="1" applyFill="1" applyBorder="1">
      <alignment/>
      <protection/>
    </xf>
    <xf numFmtId="0" fontId="52" fillId="33" borderId="10" xfId="53" applyFont="1" applyFill="1" applyBorder="1">
      <alignment/>
      <protection/>
    </xf>
    <xf numFmtId="1" fontId="8" fillId="35" borderId="0" xfId="0" applyNumberFormat="1" applyFont="1" applyFill="1" applyBorder="1" applyAlignment="1">
      <alignment horizontal="left" wrapText="1"/>
    </xf>
    <xf numFmtId="0" fontId="5" fillId="35" borderId="0" xfId="53" applyFont="1" applyFill="1">
      <alignment/>
      <protection/>
    </xf>
    <xf numFmtId="0" fontId="63" fillId="0" borderId="0" xfId="0" applyFont="1" applyAlignment="1">
      <alignment/>
    </xf>
    <xf numFmtId="0" fontId="130" fillId="35" borderId="0" xfId="42" applyFont="1" applyFill="1" applyBorder="1" applyAlignment="1" applyProtection="1">
      <alignment horizontal="left" indent="3"/>
      <protection/>
    </xf>
    <xf numFmtId="0" fontId="131" fillId="33" borderId="0" xfId="0" applyFont="1" applyFill="1" applyBorder="1" applyAlignment="1">
      <alignment horizontal="center"/>
    </xf>
    <xf numFmtId="0" fontId="132" fillId="36" borderId="0" xfId="0" applyFont="1" applyFill="1" applyAlignment="1">
      <alignment horizontal="left" vertical="top"/>
    </xf>
    <xf numFmtId="0" fontId="132" fillId="36" borderId="0" xfId="53" applyFont="1" applyFill="1" applyAlignment="1" applyProtection="1">
      <alignment/>
      <protection hidden="1"/>
    </xf>
    <xf numFmtId="0" fontId="132" fillId="33" borderId="0" xfId="53" applyFont="1" applyFill="1" applyProtection="1">
      <alignment/>
      <protection hidden="1"/>
    </xf>
    <xf numFmtId="0" fontId="133" fillId="33" borderId="0" xfId="53" applyFont="1" applyFill="1">
      <alignment/>
      <protection/>
    </xf>
    <xf numFmtId="0" fontId="120" fillId="33" borderId="0" xfId="0" applyFont="1" applyFill="1" applyAlignment="1">
      <alignment/>
    </xf>
    <xf numFmtId="0" fontId="120" fillId="0" borderId="0" xfId="0" applyFont="1" applyAlignment="1">
      <alignment/>
    </xf>
    <xf numFmtId="0" fontId="130" fillId="35" borderId="0" xfId="42" applyFont="1" applyFill="1" applyBorder="1" applyAlignment="1" applyProtection="1">
      <alignment horizontal="left" wrapText="1" indent="3"/>
      <protection hidden="1"/>
    </xf>
    <xf numFmtId="0" fontId="131" fillId="33" borderId="0" xfId="53" applyFont="1" applyFill="1" applyAlignment="1" applyProtection="1">
      <alignment horizontal="center"/>
      <protection hidden="1"/>
    </xf>
    <xf numFmtId="0" fontId="131" fillId="33" borderId="0" xfId="0" applyFont="1" applyFill="1" applyBorder="1" applyAlignment="1">
      <alignment horizontal="left" indent="3"/>
    </xf>
    <xf numFmtId="0" fontId="12" fillId="33" borderId="12" xfId="53" applyFont="1" applyFill="1" applyBorder="1" applyAlignment="1" applyProtection="1">
      <alignment horizontal="left" wrapText="1"/>
      <protection hidden="1"/>
    </xf>
    <xf numFmtId="0" fontId="7" fillId="33" borderId="13" xfId="53" applyFont="1" applyFill="1" applyBorder="1" applyAlignment="1" applyProtection="1">
      <alignment horizontal="left"/>
      <protection hidden="1"/>
    </xf>
    <xf numFmtId="184" fontId="5" fillId="35" borderId="15" xfId="53" applyNumberFormat="1" applyFont="1" applyFill="1" applyBorder="1" applyAlignment="1" applyProtection="1">
      <alignment horizont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0" fontId="13" fillId="34" borderId="32" xfId="53" applyFont="1" applyFill="1" applyBorder="1" applyAlignment="1" applyProtection="1">
      <alignment horizontal="center"/>
      <protection hidden="1"/>
    </xf>
    <xf numFmtId="0" fontId="13" fillId="33" borderId="0" xfId="53" applyFont="1" applyFill="1" applyBorder="1" applyAlignment="1" applyProtection="1">
      <alignment/>
      <protection hidden="1"/>
    </xf>
    <xf numFmtId="0" fontId="7" fillId="35" borderId="0" xfId="53" applyFont="1" applyFill="1" applyBorder="1" applyAlignment="1" applyProtection="1">
      <alignment horizontal="left"/>
      <protection hidden="1"/>
    </xf>
    <xf numFmtId="184" fontId="5" fillId="35" borderId="34" xfId="53" applyNumberFormat="1" applyFont="1" applyFill="1" applyBorder="1" applyAlignment="1" applyProtection="1">
      <alignment horizontal="center"/>
      <protection hidden="1"/>
    </xf>
    <xf numFmtId="184" fontId="5" fillId="35" borderId="22" xfId="53" applyNumberFormat="1" applyFont="1" applyFill="1" applyBorder="1" applyAlignment="1" applyProtection="1">
      <alignment horizontal="center"/>
      <protection hidden="1"/>
    </xf>
    <xf numFmtId="184" fontId="5" fillId="35" borderId="15" xfId="53" applyNumberFormat="1" applyFont="1" applyFill="1" applyBorder="1" applyAlignment="1" applyProtection="1">
      <alignment horizontal="center"/>
      <protection hidden="1"/>
    </xf>
    <xf numFmtId="184" fontId="5" fillId="35" borderId="28" xfId="53" applyNumberFormat="1" applyFont="1" applyFill="1" applyBorder="1" applyAlignment="1" applyProtection="1">
      <alignment horizontal="center"/>
      <protection hidden="1"/>
    </xf>
    <xf numFmtId="184" fontId="5" fillId="35" borderId="40" xfId="53" applyNumberFormat="1" applyFont="1" applyFill="1" applyBorder="1" applyAlignment="1" applyProtection="1">
      <alignment horizont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84" fontId="5" fillId="35" borderId="27" xfId="53" applyNumberFormat="1" applyFont="1" applyFill="1" applyBorder="1" applyAlignment="1" applyProtection="1">
      <alignment horizontal="center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27" xfId="53" applyNumberFormat="1" applyFont="1" applyFill="1" applyBorder="1" applyAlignment="1" applyProtection="1">
      <alignment horizontal="center"/>
      <protection hidden="1"/>
    </xf>
    <xf numFmtId="184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184" fontId="5" fillId="35" borderId="10" xfId="53" applyNumberFormat="1" applyFont="1" applyFill="1" applyBorder="1" applyAlignment="1" applyProtection="1">
      <alignment horizontal="center"/>
      <protection hidden="1"/>
    </xf>
    <xf numFmtId="184" fontId="5" fillId="35" borderId="41" xfId="53" applyNumberFormat="1" applyFont="1" applyFill="1" applyBorder="1" applyAlignment="1" applyProtection="1">
      <alignment horizontal="center"/>
      <protection hidden="1"/>
    </xf>
    <xf numFmtId="1" fontId="5" fillId="35" borderId="34" xfId="53" applyNumberFormat="1" applyFont="1" applyFill="1" applyBorder="1" applyAlignment="1" applyProtection="1">
      <alignment horizontal="center"/>
      <protection hidden="1"/>
    </xf>
    <xf numFmtId="1" fontId="5" fillId="35" borderId="22" xfId="53" applyNumberFormat="1" applyFont="1" applyFill="1" applyBorder="1" applyAlignment="1" applyProtection="1">
      <alignment horizontal="center"/>
      <protection hidden="1"/>
    </xf>
    <xf numFmtId="0" fontId="17" fillId="35" borderId="0" xfId="53" applyFont="1" applyFill="1" applyBorder="1" applyAlignment="1" applyProtection="1">
      <alignment/>
      <protection hidden="1"/>
    </xf>
    <xf numFmtId="0" fontId="12" fillId="34" borderId="37" xfId="53" applyFont="1" applyFill="1" applyBorder="1" applyAlignment="1" applyProtection="1">
      <alignment horizontal="center" vertical="center"/>
      <protection hidden="1"/>
    </xf>
    <xf numFmtId="0" fontId="12" fillId="34" borderId="46" xfId="53" applyFont="1" applyFill="1" applyBorder="1" applyAlignment="1" applyProtection="1">
      <alignment horizontal="center" vertical="center"/>
      <protection hidden="1"/>
    </xf>
    <xf numFmtId="0" fontId="12" fillId="34" borderId="37" xfId="53" applyFont="1" applyFill="1" applyBorder="1" applyAlignment="1" applyProtection="1">
      <alignment horizontal="center" vertical="center"/>
      <protection hidden="1"/>
    </xf>
    <xf numFmtId="0" fontId="12" fillId="34" borderId="35" xfId="53" applyFont="1" applyFill="1" applyBorder="1" applyAlignment="1" applyProtection="1">
      <alignment horizontal="center" vertical="center"/>
      <protection hidden="1"/>
    </xf>
    <xf numFmtId="0" fontId="12" fillId="35" borderId="11" xfId="53" applyFont="1" applyFill="1" applyBorder="1" applyAlignment="1" applyProtection="1">
      <alignment horizontal="center" vertical="center"/>
      <protection hidden="1"/>
    </xf>
    <xf numFmtId="0" fontId="12" fillId="35" borderId="0" xfId="53" applyFont="1" applyFill="1" applyBorder="1" applyAlignment="1" applyProtection="1">
      <alignment horizontal="center" vertical="center"/>
      <protection hidden="1"/>
    </xf>
    <xf numFmtId="0" fontId="12" fillId="34" borderId="34" xfId="53" applyFont="1" applyFill="1" applyBorder="1" applyAlignment="1" applyProtection="1">
      <alignment horizontal="center" vertical="center"/>
      <protection hidden="1"/>
    </xf>
    <xf numFmtId="0" fontId="12" fillId="34" borderId="22" xfId="53" applyFont="1" applyFill="1" applyBorder="1" applyAlignment="1" applyProtection="1">
      <alignment horizontal="center" vertical="center"/>
      <protection hidden="1"/>
    </xf>
    <xf numFmtId="0" fontId="12" fillId="34" borderId="34" xfId="53" applyFont="1" applyFill="1" applyBorder="1" applyAlignment="1" applyProtection="1">
      <alignment horizontal="center" vertical="center"/>
      <protection hidden="1"/>
    </xf>
    <xf numFmtId="0" fontId="12" fillId="34" borderId="22" xfId="53" applyFont="1" applyFill="1" applyBorder="1" applyAlignment="1" applyProtection="1">
      <alignment horizontal="center" vertical="center"/>
      <protection hidden="1"/>
    </xf>
    <xf numFmtId="0" fontId="12" fillId="34" borderId="32" xfId="53" applyFont="1" applyFill="1" applyBorder="1" applyAlignment="1" applyProtection="1">
      <alignment horizontal="center" vertical="center"/>
      <protection hidden="1"/>
    </xf>
    <xf numFmtId="0" fontId="12" fillId="34" borderId="37" xfId="53" applyFont="1" applyFill="1" applyBorder="1" applyAlignment="1" applyProtection="1">
      <alignment horizontal="center"/>
      <protection hidden="1"/>
    </xf>
    <xf numFmtId="0" fontId="12" fillId="34" borderId="35" xfId="53" applyFont="1" applyFill="1" applyBorder="1" applyAlignment="1" applyProtection="1">
      <alignment horizontal="center"/>
      <protection hidden="1"/>
    </xf>
    <xf numFmtId="0" fontId="12" fillId="34" borderId="29" xfId="53" applyFont="1" applyFill="1" applyBorder="1" applyAlignment="1" applyProtection="1">
      <alignment horizontal="center" vertical="center"/>
      <protection hidden="1"/>
    </xf>
    <xf numFmtId="0" fontId="12" fillId="34" borderId="33" xfId="53" applyFont="1" applyFill="1" applyBorder="1" applyAlignment="1" applyProtection="1">
      <alignment horizontal="center" vertical="center"/>
      <protection hidden="1"/>
    </xf>
    <xf numFmtId="1" fontId="8" fillId="39" borderId="0" xfId="0" applyNumberFormat="1" applyFont="1" applyFill="1" applyBorder="1" applyAlignment="1">
      <alignment horizontal="left" wrapText="1"/>
    </xf>
    <xf numFmtId="0" fontId="6" fillId="35" borderId="11" xfId="53" applyFont="1" applyFill="1" applyBorder="1" applyAlignment="1" applyProtection="1">
      <alignment horizontal="left"/>
      <protection hidden="1"/>
    </xf>
    <xf numFmtId="0" fontId="6" fillId="33" borderId="0" xfId="53" applyFont="1" applyFill="1" applyBorder="1" applyAlignment="1" applyProtection="1">
      <alignment horizontal="left"/>
      <protection hidden="1"/>
    </xf>
    <xf numFmtId="0" fontId="12" fillId="34" borderId="37" xfId="53" applyFont="1" applyFill="1" applyBorder="1" applyAlignment="1" applyProtection="1">
      <alignment horizontal="center" vertical="center" wrapText="1"/>
      <protection hidden="1"/>
    </xf>
    <xf numFmtId="0" fontId="12" fillId="34" borderId="46" xfId="53" applyFont="1" applyFill="1" applyBorder="1" applyAlignment="1" applyProtection="1">
      <alignment horizontal="center" vertical="center" wrapText="1"/>
      <protection hidden="1"/>
    </xf>
    <xf numFmtId="9" fontId="5" fillId="35" borderId="11" xfId="53" applyNumberFormat="1" applyFont="1" applyFill="1" applyBorder="1" applyAlignment="1" applyProtection="1">
      <alignment horizontal="center"/>
      <protection hidden="1"/>
    </xf>
    <xf numFmtId="9" fontId="5" fillId="35" borderId="27" xfId="53" applyNumberFormat="1" applyFont="1" applyFill="1" applyBorder="1" applyAlignment="1" applyProtection="1">
      <alignment horizontal="center"/>
      <protection hidden="1"/>
    </xf>
    <xf numFmtId="9" fontId="5" fillId="35" borderId="14" xfId="53" applyNumberFormat="1" applyFont="1" applyFill="1" applyBorder="1" applyAlignment="1" applyProtection="1">
      <alignment horizontal="center"/>
      <protection hidden="1"/>
    </xf>
    <xf numFmtId="9" fontId="5" fillId="35" borderId="41" xfId="53" applyNumberFormat="1" applyFont="1" applyFill="1" applyBorder="1" applyAlignment="1" applyProtection="1">
      <alignment horizontal="center"/>
      <protection hidden="1"/>
    </xf>
    <xf numFmtId="0" fontId="6" fillId="33" borderId="10" xfId="53" applyFont="1" applyFill="1" applyBorder="1" applyAlignment="1" applyProtection="1">
      <alignment horizontal="center"/>
      <protection hidden="1"/>
    </xf>
    <xf numFmtId="0" fontId="12" fillId="35" borderId="0" xfId="53" applyFont="1" applyFill="1" applyBorder="1" applyAlignment="1" applyProtection="1">
      <alignment horizontal="center"/>
      <protection hidden="1"/>
    </xf>
    <xf numFmtId="0" fontId="12" fillId="35" borderId="11" xfId="53" applyFont="1" applyFill="1" applyBorder="1" applyAlignment="1" applyProtection="1">
      <alignment horizontal="center"/>
      <protection hidden="1"/>
    </xf>
    <xf numFmtId="1" fontId="12" fillId="34" borderId="44" xfId="53" applyNumberFormat="1" applyFont="1" applyFill="1" applyBorder="1" applyAlignment="1" applyProtection="1">
      <alignment horizontal="center" vertical="center"/>
      <protection hidden="1"/>
    </xf>
    <xf numFmtId="1" fontId="12" fillId="34" borderId="39" xfId="53" applyNumberFormat="1" applyFont="1" applyFill="1" applyBorder="1" applyAlignment="1" applyProtection="1">
      <alignment horizontal="center" vertical="center"/>
      <protection hidden="1"/>
    </xf>
    <xf numFmtId="1" fontId="12" fillId="34" borderId="34" xfId="53" applyNumberFormat="1" applyFont="1" applyFill="1" applyBorder="1" applyAlignment="1" applyProtection="1">
      <alignment horizontal="center" vertical="center"/>
      <protection hidden="1"/>
    </xf>
    <xf numFmtId="1" fontId="12" fillId="34" borderId="32" xfId="53" applyNumberFormat="1" applyFont="1" applyFill="1" applyBorder="1" applyAlignment="1" applyProtection="1">
      <alignment horizontal="center" vertical="center"/>
      <protection hidden="1"/>
    </xf>
    <xf numFmtId="1" fontId="5" fillId="35" borderId="14" xfId="53" applyNumberFormat="1" applyFont="1" applyFill="1" applyBorder="1" applyAlignment="1" applyProtection="1">
      <alignment horizontal="center"/>
      <protection hidden="1"/>
    </xf>
    <xf numFmtId="1" fontId="5" fillId="35" borderId="41" xfId="53" applyNumberFormat="1" applyFont="1" applyFill="1" applyBorder="1" applyAlignment="1" applyProtection="1">
      <alignment horizontal="center"/>
      <protection hidden="1"/>
    </xf>
    <xf numFmtId="1" fontId="12" fillId="34" borderId="34" xfId="53" applyNumberFormat="1" applyFont="1" applyFill="1" applyBorder="1" applyAlignment="1" applyProtection="1">
      <alignment horizontal="center" vertical="center"/>
      <protection hidden="1"/>
    </xf>
    <xf numFmtId="1" fontId="12" fillId="34" borderId="22" xfId="53" applyNumberFormat="1" applyFont="1" applyFill="1" applyBorder="1" applyAlignment="1" applyProtection="1">
      <alignment horizontal="center" vertical="center"/>
      <protection hidden="1"/>
    </xf>
    <xf numFmtId="1" fontId="5" fillId="33" borderId="14" xfId="0" applyNumberFormat="1" applyFont="1" applyFill="1" applyBorder="1" applyAlignment="1" applyProtection="1">
      <alignment horizontal="center"/>
      <protection hidden="1"/>
    </xf>
    <xf numFmtId="1" fontId="5" fillId="33" borderId="41" xfId="0" applyNumberFormat="1" applyFont="1" applyFill="1" applyBorder="1" applyAlignment="1" applyProtection="1">
      <alignment horizontal="center"/>
      <protection hidden="1"/>
    </xf>
    <xf numFmtId="0" fontId="12" fillId="34" borderId="34" xfId="53" applyFont="1" applyFill="1" applyBorder="1" applyAlignment="1" applyProtection="1">
      <alignment horizontal="center" vertical="center" wrapText="1"/>
      <protection hidden="1"/>
    </xf>
    <xf numFmtId="0" fontId="12" fillId="34" borderId="22" xfId="53" applyFont="1" applyFill="1" applyBorder="1" applyAlignment="1" applyProtection="1">
      <alignment horizontal="center" vertical="center" wrapText="1"/>
      <protection hidden="1"/>
    </xf>
    <xf numFmtId="1" fontId="5" fillId="35" borderId="10" xfId="53" applyNumberFormat="1" applyFont="1" applyFill="1" applyBorder="1" applyAlignment="1" applyProtection="1">
      <alignment horizontal="center"/>
      <protection hidden="1"/>
    </xf>
    <xf numFmtId="1" fontId="5" fillId="35" borderId="15" xfId="53" applyNumberFormat="1" applyFont="1" applyFill="1" applyBorder="1" applyAlignment="1" applyProtection="1">
      <alignment horizontal="center"/>
      <protection hidden="1"/>
    </xf>
    <xf numFmtId="1" fontId="5" fillId="35" borderId="28" xfId="53" applyNumberFormat="1" applyFont="1" applyFill="1" applyBorder="1" applyAlignment="1" applyProtection="1">
      <alignment horizontal="center"/>
      <protection hidden="1"/>
    </xf>
    <xf numFmtId="1" fontId="5" fillId="35" borderId="40" xfId="53" applyNumberFormat="1" applyFont="1" applyFill="1" applyBorder="1" applyAlignment="1" applyProtection="1">
      <alignment horizontal="center"/>
      <protection hidden="1"/>
    </xf>
    <xf numFmtId="0" fontId="40" fillId="33" borderId="0" xfId="53" applyFont="1" applyFill="1" applyBorder="1" applyAlignment="1" applyProtection="1">
      <alignment horizontal="center"/>
      <protection hidden="1"/>
    </xf>
    <xf numFmtId="0" fontId="8" fillId="39" borderId="0" xfId="53" applyFont="1" applyFill="1" applyAlignment="1">
      <alignment horizontal="left"/>
      <protection/>
    </xf>
    <xf numFmtId="0" fontId="0" fillId="0" borderId="0" xfId="0" applyAlignment="1">
      <alignment horizontal="left"/>
    </xf>
    <xf numFmtId="0" fontId="12" fillId="33" borderId="0" xfId="53" applyFont="1" applyFill="1" applyBorder="1" applyAlignment="1" applyProtection="1">
      <alignment horizontal="left" vertical="center"/>
      <protection hidden="1"/>
    </xf>
    <xf numFmtId="184" fontId="5" fillId="35" borderId="11" xfId="0" applyNumberFormat="1" applyFont="1" applyFill="1" applyBorder="1" applyAlignment="1" applyProtection="1">
      <alignment horizontal="center"/>
      <protection hidden="1"/>
    </xf>
    <xf numFmtId="184" fontId="5" fillId="35" borderId="27" xfId="0" applyNumberFormat="1" applyFont="1" applyFill="1" applyBorder="1" applyAlignment="1" applyProtection="1">
      <alignment horizontal="center"/>
      <protection hidden="1"/>
    </xf>
    <xf numFmtId="184" fontId="5" fillId="35" borderId="44" xfId="53" applyNumberFormat="1" applyFont="1" applyFill="1" applyBorder="1" applyAlignment="1" applyProtection="1">
      <alignment horizontal="center"/>
      <protection hidden="1"/>
    </xf>
    <xf numFmtId="184" fontId="5" fillId="35" borderId="58" xfId="53" applyNumberFormat="1" applyFont="1" applyFill="1" applyBorder="1" applyAlignment="1" applyProtection="1">
      <alignment horizontal="center"/>
      <protection hidden="1"/>
    </xf>
    <xf numFmtId="184" fontId="5" fillId="35" borderId="32" xfId="53" applyNumberFormat="1" applyFont="1" applyFill="1" applyBorder="1" applyAlignment="1" applyProtection="1">
      <alignment horizontal="center"/>
      <protection hidden="1"/>
    </xf>
    <xf numFmtId="0" fontId="17" fillId="33" borderId="10" xfId="53" applyFont="1" applyFill="1" applyBorder="1" applyAlignment="1" applyProtection="1">
      <alignment horizontal="center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27" xfId="53" applyNumberFormat="1" applyFont="1" applyFill="1" applyBorder="1" applyAlignment="1" applyProtection="1">
      <alignment horizontal="center"/>
      <protection hidden="1"/>
    </xf>
    <xf numFmtId="1" fontId="5" fillId="35" borderId="11" xfId="0" applyNumberFormat="1" applyFont="1" applyFill="1" applyBorder="1" applyAlignment="1" applyProtection="1">
      <alignment horizontal="center"/>
      <protection hidden="1"/>
    </xf>
    <xf numFmtId="1" fontId="5" fillId="35" borderId="0" xfId="0" applyNumberFormat="1" applyFont="1" applyFill="1" applyBorder="1" applyAlignment="1" applyProtection="1">
      <alignment horizontal="center"/>
      <protection hidden="1"/>
    </xf>
    <xf numFmtId="0" fontId="12" fillId="34" borderId="50" xfId="53" applyFont="1" applyFill="1" applyBorder="1" applyAlignment="1" applyProtection="1">
      <alignment horizontal="center" vertical="center"/>
      <protection hidden="1"/>
    </xf>
    <xf numFmtId="0" fontId="12" fillId="34" borderId="59" xfId="53" applyFont="1" applyFill="1" applyBorder="1" applyAlignment="1" applyProtection="1">
      <alignment horizontal="center" vertical="center"/>
      <protection hidden="1"/>
    </xf>
    <xf numFmtId="1" fontId="5" fillId="35" borderId="32" xfId="53" applyNumberFormat="1" applyFont="1" applyFill="1" applyBorder="1" applyAlignment="1" applyProtection="1">
      <alignment horizontal="center"/>
      <protection hidden="1"/>
    </xf>
    <xf numFmtId="0" fontId="12" fillId="34" borderId="35" xfId="53" applyFont="1" applyFill="1" applyBorder="1" applyAlignment="1" applyProtection="1">
      <alignment horizontal="center" vertical="center" wrapText="1"/>
      <protection hidden="1"/>
    </xf>
    <xf numFmtId="1" fontId="5" fillId="35" borderId="10" xfId="0" applyNumberFormat="1" applyFont="1" applyFill="1" applyBorder="1" applyAlignment="1" applyProtection="1">
      <alignment horizontal="center"/>
      <protection hidden="1"/>
    </xf>
    <xf numFmtId="1" fontId="12" fillId="33" borderId="0" xfId="53" applyNumberFormat="1" applyFont="1" applyFill="1" applyBorder="1" applyAlignment="1" applyProtection="1">
      <alignment horizontal="center" vertical="center"/>
      <protection hidden="1"/>
    </xf>
    <xf numFmtId="1" fontId="12" fillId="34" borderId="37" xfId="53" applyNumberFormat="1" applyFont="1" applyFill="1" applyBorder="1" applyAlignment="1" applyProtection="1">
      <alignment horizontal="center"/>
      <protection hidden="1"/>
    </xf>
    <xf numFmtId="1" fontId="12" fillId="34" borderId="46" xfId="53" applyNumberFormat="1" applyFont="1" applyFill="1" applyBorder="1" applyAlignment="1" applyProtection="1">
      <alignment horizontal="center"/>
      <protection hidden="1"/>
    </xf>
    <xf numFmtId="0" fontId="134" fillId="33" borderId="53" xfId="42" applyFont="1" applyFill="1" applyBorder="1" applyAlignment="1" applyProtection="1">
      <alignment horizontal="center" wrapText="1"/>
      <protection/>
    </xf>
    <xf numFmtId="0" fontId="134" fillId="33" borderId="54" xfId="42" applyFont="1" applyFill="1" applyBorder="1" applyAlignment="1" applyProtection="1">
      <alignment horizontal="center" wrapText="1"/>
      <protection/>
    </xf>
    <xf numFmtId="0" fontId="134" fillId="33" borderId="55" xfId="42" applyFont="1" applyFill="1" applyBorder="1" applyAlignment="1" applyProtection="1">
      <alignment horizontal="center" wrapText="1"/>
      <protection/>
    </xf>
    <xf numFmtId="0" fontId="135" fillId="33" borderId="3" xfId="45" applyFont="1" applyFill="1" applyAlignment="1" applyProtection="1">
      <alignment wrapText="1"/>
      <protection hidden="1"/>
    </xf>
    <xf numFmtId="0" fontId="135" fillId="0" borderId="3" xfId="45" applyFont="1" applyAlignment="1">
      <alignment wrapText="1"/>
    </xf>
    <xf numFmtId="0" fontId="130" fillId="35" borderId="0" xfId="42" applyFont="1" applyFill="1" applyBorder="1" applyAlignment="1" applyProtection="1">
      <alignment horizontal="left" wrapText="1" indent="3"/>
      <protection hidden="1"/>
    </xf>
    <xf numFmtId="0" fontId="130" fillId="0" borderId="0" xfId="42" applyFont="1" applyAlignment="1" applyProtection="1">
      <alignment horizontal="left" wrapText="1" indent="3"/>
      <protection/>
    </xf>
    <xf numFmtId="0" fontId="130" fillId="0" borderId="0" xfId="42" applyFont="1" applyAlignment="1">
      <alignment horizontal="left" indent="3"/>
    </xf>
    <xf numFmtId="0" fontId="43" fillId="36" borderId="0" xfId="0" applyFont="1" applyFill="1" applyAlignment="1">
      <alignment horizontal="left" wrapText="1"/>
    </xf>
    <xf numFmtId="0" fontId="35" fillId="36" borderId="0" xfId="0" applyFont="1" applyFill="1" applyAlignment="1">
      <alignment horizontal="center" wrapText="1"/>
    </xf>
    <xf numFmtId="0" fontId="43" fillId="36" borderId="0" xfId="0" applyFont="1" applyFill="1" applyAlignment="1">
      <alignment horizontal="center" wrapText="1"/>
    </xf>
    <xf numFmtId="0" fontId="12" fillId="34" borderId="32" xfId="53" applyFont="1" applyFill="1" applyBorder="1" applyAlignment="1" applyProtection="1">
      <alignment horizontal="center" vertical="center"/>
      <protection hidden="1"/>
    </xf>
    <xf numFmtId="0" fontId="8" fillId="39" borderId="0" xfId="53" applyFont="1" applyFill="1" applyBorder="1" applyAlignment="1">
      <alignment horizontal="left"/>
      <protection/>
    </xf>
    <xf numFmtId="0" fontId="12" fillId="34" borderId="46" xfId="53" applyFont="1" applyFill="1" applyBorder="1" applyAlignment="1" applyProtection="1">
      <alignment horizontal="center" vertical="center"/>
      <protection hidden="1"/>
    </xf>
    <xf numFmtId="0" fontId="12" fillId="35" borderId="0" xfId="53" applyFont="1" applyFill="1" applyBorder="1" applyAlignment="1" applyProtection="1">
      <alignment horizontal="center" vertical="center"/>
      <protection hidden="1"/>
    </xf>
    <xf numFmtId="0" fontId="12" fillId="35" borderId="0" xfId="53" applyFont="1" applyFill="1" applyBorder="1" applyAlignment="1" applyProtection="1">
      <alignment horizontal="left" vertical="center"/>
      <protection hidden="1"/>
    </xf>
    <xf numFmtId="0" fontId="12" fillId="35" borderId="0" xfId="53" applyFont="1" applyFill="1" applyBorder="1" applyAlignment="1" applyProtection="1">
      <alignment/>
      <protection hidden="1"/>
    </xf>
    <xf numFmtId="0" fontId="12" fillId="35" borderId="11" xfId="53" applyFont="1" applyFill="1" applyBorder="1" applyAlignment="1" applyProtection="1">
      <alignment/>
      <protection hidden="1"/>
    </xf>
    <xf numFmtId="0" fontId="12" fillId="35" borderId="0" xfId="53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 horizontal="center"/>
    </xf>
    <xf numFmtId="1" fontId="12" fillId="34" borderId="37" xfId="53" applyNumberFormat="1" applyFont="1" applyFill="1" applyBorder="1" applyAlignment="1" applyProtection="1">
      <alignment horizontal="center" vertical="center"/>
      <protection hidden="1"/>
    </xf>
    <xf numFmtId="1" fontId="12" fillId="34" borderId="46" xfId="53" applyNumberFormat="1" applyFont="1" applyFill="1" applyBorder="1" applyAlignment="1" applyProtection="1">
      <alignment horizontal="center" vertical="center"/>
      <protection hidden="1"/>
    </xf>
    <xf numFmtId="0" fontId="6" fillId="33" borderId="39" xfId="53" applyFont="1" applyFill="1" applyBorder="1" applyAlignment="1">
      <alignment horizontal="left"/>
      <protection/>
    </xf>
    <xf numFmtId="0" fontId="17" fillId="33" borderId="39" xfId="53" applyFont="1" applyFill="1" applyBorder="1" applyAlignment="1" applyProtection="1">
      <alignment horizontal="center"/>
      <protection hidden="1"/>
    </xf>
    <xf numFmtId="1" fontId="12" fillId="34" borderId="37" xfId="53" applyNumberFormat="1" applyFont="1" applyFill="1" applyBorder="1" applyAlignment="1" applyProtection="1">
      <alignment horizontal="center" vertical="center"/>
      <protection hidden="1"/>
    </xf>
    <xf numFmtId="1" fontId="12" fillId="34" borderId="46" xfId="53" applyNumberFormat="1" applyFont="1" applyFill="1" applyBorder="1" applyAlignment="1" applyProtection="1">
      <alignment horizontal="center" vertical="center"/>
      <protection hidden="1"/>
    </xf>
    <xf numFmtId="184" fontId="5" fillId="35" borderId="39" xfId="53" applyNumberFormat="1" applyFont="1" applyFill="1" applyBorder="1" applyAlignment="1" applyProtection="1">
      <alignment horizontal="center"/>
      <protection hidden="1"/>
    </xf>
    <xf numFmtId="0" fontId="17" fillId="33" borderId="32" xfId="53" applyFont="1" applyFill="1" applyBorder="1" applyAlignment="1" applyProtection="1">
      <alignment horizontal="left"/>
      <protection hidden="1"/>
    </xf>
    <xf numFmtId="0" fontId="7" fillId="33" borderId="37" xfId="53" applyFont="1" applyFill="1" applyBorder="1" applyAlignment="1" applyProtection="1">
      <alignment/>
      <protection hidden="1"/>
    </xf>
    <xf numFmtId="0" fontId="7" fillId="33" borderId="35" xfId="53" applyFont="1" applyFill="1" applyBorder="1" applyAlignment="1" applyProtection="1">
      <alignment/>
      <protection hidden="1"/>
    </xf>
    <xf numFmtId="0" fontId="7" fillId="33" borderId="32" xfId="53" applyFont="1" applyFill="1" applyBorder="1" applyAlignment="1" applyProtection="1">
      <alignment/>
      <protection hidden="1"/>
    </xf>
    <xf numFmtId="0" fontId="7" fillId="33" borderId="22" xfId="53" applyFont="1" applyFill="1" applyBorder="1" applyAlignment="1" applyProtection="1">
      <alignment/>
      <protection hidden="1"/>
    </xf>
    <xf numFmtId="0" fontId="12" fillId="34" borderId="20" xfId="53" applyFont="1" applyFill="1" applyBorder="1" applyAlignment="1" applyProtection="1">
      <alignment horizontal="center" vertical="center"/>
      <protection hidden="1"/>
    </xf>
    <xf numFmtId="0" fontId="12" fillId="34" borderId="19" xfId="53" applyFont="1" applyFill="1" applyBorder="1" applyAlignment="1" applyProtection="1">
      <alignment horizontal="center" vertical="center"/>
      <protection hidden="1"/>
    </xf>
    <xf numFmtId="0" fontId="11" fillId="0" borderId="10" xfId="53" applyFont="1" applyFill="1" applyBorder="1" applyAlignment="1" applyProtection="1">
      <alignment horizontal="left"/>
      <protection hidden="1"/>
    </xf>
    <xf numFmtId="0" fontId="11" fillId="0" borderId="0" xfId="53" applyFont="1" applyFill="1" applyBorder="1" applyAlignment="1" applyProtection="1">
      <alignment horizontal="left"/>
      <protection hidden="1"/>
    </xf>
    <xf numFmtId="0" fontId="12" fillId="34" borderId="46" xfId="53" applyFont="1" applyFill="1" applyBorder="1" applyAlignment="1" applyProtection="1">
      <alignment horizontal="center"/>
      <protection hidden="1"/>
    </xf>
    <xf numFmtId="0" fontId="12" fillId="35" borderId="11" xfId="53" applyFont="1" applyFill="1" applyBorder="1" applyAlignment="1" applyProtection="1">
      <alignment horizontal="center" vertical="center"/>
      <protection hidden="1"/>
    </xf>
    <xf numFmtId="0" fontId="6" fillId="33" borderId="28" xfId="53" applyFont="1" applyFill="1" applyBorder="1" applyAlignment="1" applyProtection="1">
      <alignment horizontal="left"/>
      <protection hidden="1"/>
    </xf>
    <xf numFmtId="0" fontId="12" fillId="34" borderId="29" xfId="53" applyFont="1" applyFill="1" applyBorder="1" applyAlignment="1" applyProtection="1">
      <alignment horizontal="center" vertical="center"/>
      <protection hidden="1"/>
    </xf>
    <xf numFmtId="0" fontId="12" fillId="34" borderId="33" xfId="53" applyFont="1" applyFill="1" applyBorder="1" applyAlignment="1" applyProtection="1">
      <alignment horizontal="center" vertical="center"/>
      <protection hidden="1"/>
    </xf>
    <xf numFmtId="0" fontId="6" fillId="33" borderId="31" xfId="53" applyFont="1" applyFill="1" applyBorder="1" applyAlignment="1" applyProtection="1">
      <alignment horizontal="left"/>
      <protection hidden="1"/>
    </xf>
    <xf numFmtId="0" fontId="12" fillId="34" borderId="36" xfId="53" applyFont="1" applyFill="1" applyBorder="1" applyAlignment="1" applyProtection="1">
      <alignment horizontal="center" vertical="center"/>
      <protection hidden="1"/>
    </xf>
    <xf numFmtId="0" fontId="12" fillId="34" borderId="23" xfId="5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32" fillId="33" borderId="0" xfId="53" applyFont="1" applyFill="1" applyBorder="1" applyAlignment="1" applyProtection="1">
      <alignment horizontal="center"/>
      <protection hidden="1"/>
    </xf>
    <xf numFmtId="0" fontId="2" fillId="34" borderId="36" xfId="53" applyFont="1" applyFill="1" applyBorder="1" applyAlignment="1" applyProtection="1">
      <alignment horizontal="center"/>
      <protection hidden="1"/>
    </xf>
    <xf numFmtId="0" fontId="2" fillId="34" borderId="34" xfId="53" applyFont="1" applyFill="1" applyBorder="1" applyAlignment="1" applyProtection="1">
      <alignment horizontal="center"/>
      <protection hidden="1"/>
    </xf>
    <xf numFmtId="1" fontId="8" fillId="40" borderId="0" xfId="0" applyNumberFormat="1" applyFont="1" applyFill="1" applyBorder="1" applyAlignment="1">
      <alignment horizontal="left"/>
    </xf>
    <xf numFmtId="0" fontId="6" fillId="33" borderId="37" xfId="53" applyFont="1" applyFill="1" applyBorder="1" applyAlignment="1" applyProtection="1">
      <alignment horizontal="left"/>
      <protection hidden="1"/>
    </xf>
    <xf numFmtId="0" fontId="6" fillId="33" borderId="35" xfId="53" applyFont="1" applyFill="1" applyBorder="1" applyAlignment="1" applyProtection="1">
      <alignment horizontal="left"/>
      <protection hidden="1"/>
    </xf>
    <xf numFmtId="0" fontId="6" fillId="33" borderId="46" xfId="53" applyFont="1" applyFill="1" applyBorder="1" applyAlignment="1" applyProtection="1">
      <alignment horizontal="left"/>
      <protection hidden="1"/>
    </xf>
    <xf numFmtId="0" fontId="6" fillId="0" borderId="37" xfId="53" applyFont="1" applyBorder="1" applyAlignment="1" applyProtection="1">
      <alignment horizontal="left"/>
      <protection hidden="1"/>
    </xf>
    <xf numFmtId="0" fontId="6" fillId="0" borderId="35" xfId="53" applyFont="1" applyBorder="1" applyAlignment="1" applyProtection="1">
      <alignment horizontal="left"/>
      <protection hidden="1"/>
    </xf>
    <xf numFmtId="0" fontId="6" fillId="0" borderId="46" xfId="53" applyFont="1" applyBorder="1" applyAlignment="1" applyProtection="1">
      <alignment horizontal="left"/>
      <protection hidden="1"/>
    </xf>
    <xf numFmtId="0" fontId="12" fillId="34" borderId="38" xfId="53" applyFont="1" applyFill="1" applyBorder="1" applyAlignment="1" applyProtection="1">
      <alignment horizontal="center" vertical="center"/>
      <protection hidden="1"/>
    </xf>
    <xf numFmtId="0" fontId="2" fillId="34" borderId="60" xfId="53" applyFill="1" applyBorder="1" applyAlignment="1" applyProtection="1">
      <alignment horizontal="center" vertical="center"/>
      <protection hidden="1"/>
    </xf>
    <xf numFmtId="0" fontId="12" fillId="34" borderId="20" xfId="53" applyFont="1" applyFill="1" applyBorder="1" applyAlignment="1" applyProtection="1">
      <alignment horizontal="center" vertical="center"/>
      <protection hidden="1"/>
    </xf>
    <xf numFmtId="0" fontId="2" fillId="34" borderId="19" xfId="53" applyFill="1" applyBorder="1" applyAlignment="1" applyProtection="1">
      <alignment horizontal="center" vertical="center"/>
      <protection hidden="1"/>
    </xf>
    <xf numFmtId="0" fontId="12" fillId="34" borderId="24" xfId="53" applyFont="1" applyFill="1" applyBorder="1" applyAlignment="1" applyProtection="1">
      <alignment horizontal="center" vertical="center"/>
      <protection hidden="1"/>
    </xf>
    <xf numFmtId="1" fontId="12" fillId="34" borderId="35" xfId="53" applyNumberFormat="1" applyFont="1" applyFill="1" applyBorder="1" applyAlignment="1" applyProtection="1">
      <alignment horizontal="center"/>
      <protection hidden="1"/>
    </xf>
    <xf numFmtId="0" fontId="12" fillId="34" borderId="12" xfId="53" applyFont="1" applyFill="1" applyBorder="1" applyAlignment="1" applyProtection="1">
      <alignment horizontal="center"/>
      <protection hidden="1"/>
    </xf>
    <xf numFmtId="0" fontId="12" fillId="35" borderId="11" xfId="53" applyFont="1" applyFill="1" applyBorder="1" applyAlignment="1" applyProtection="1">
      <alignment horizontal="center" wrapText="1"/>
      <protection hidden="1"/>
    </xf>
    <xf numFmtId="0" fontId="12" fillId="35" borderId="0" xfId="53" applyFont="1" applyFill="1" applyBorder="1" applyAlignment="1" applyProtection="1">
      <alignment horizontal="center" wrapText="1"/>
      <protection hidden="1"/>
    </xf>
    <xf numFmtId="1" fontId="3" fillId="35" borderId="11" xfId="53" applyNumberFormat="1" applyFont="1" applyFill="1" applyBorder="1" applyAlignment="1" applyProtection="1">
      <alignment horizontal="center" vertical="center"/>
      <protection hidden="1"/>
    </xf>
    <xf numFmtId="1" fontId="3" fillId="35" borderId="0" xfId="53" applyNumberFormat="1" applyFont="1" applyFill="1" applyBorder="1" applyAlignment="1" applyProtection="1">
      <alignment horizontal="center" vertical="center"/>
      <protection hidden="1"/>
    </xf>
    <xf numFmtId="0" fontId="12" fillId="34" borderId="37" xfId="53" applyFont="1" applyFill="1" applyBorder="1" applyAlignment="1" applyProtection="1">
      <alignment horizontal="left" vertical="center"/>
      <protection hidden="1"/>
    </xf>
    <xf numFmtId="0" fontId="12" fillId="34" borderId="35" xfId="53" applyFont="1" applyFill="1" applyBorder="1" applyAlignment="1" applyProtection="1">
      <alignment horizontal="left" vertical="center"/>
      <protection hidden="1"/>
    </xf>
    <xf numFmtId="0" fontId="8" fillId="41" borderId="0" xfId="0" applyFont="1" applyFill="1" applyBorder="1" applyAlignment="1">
      <alignment horizontal="left"/>
    </xf>
    <xf numFmtId="0" fontId="8" fillId="33" borderId="39" xfId="53" applyFont="1" applyFill="1" applyBorder="1" applyAlignment="1" applyProtection="1">
      <alignment horizontal="left"/>
      <protection hidden="1"/>
    </xf>
    <xf numFmtId="0" fontId="8" fillId="35" borderId="0" xfId="53" applyFont="1" applyFill="1" applyBorder="1" applyAlignment="1" applyProtection="1">
      <alignment horizontal="left"/>
      <protection hidden="1"/>
    </xf>
    <xf numFmtId="0" fontId="7" fillId="33" borderId="21" xfId="53" applyFont="1" applyFill="1" applyBorder="1" applyAlignment="1">
      <alignment horizontal="left"/>
      <protection/>
    </xf>
    <xf numFmtId="0" fontId="7" fillId="33" borderId="0" xfId="53" applyFont="1" applyFill="1" applyBorder="1" applyAlignment="1">
      <alignment horizontal="left"/>
      <protection/>
    </xf>
    <xf numFmtId="0" fontId="48" fillId="33" borderId="0" xfId="53" applyFont="1" applyFill="1" applyAlignment="1">
      <alignment horizontal="left"/>
      <protection/>
    </xf>
    <xf numFmtId="0" fontId="47" fillId="33" borderId="21" xfId="53" applyFont="1" applyFill="1" applyBorder="1" applyAlignment="1">
      <alignment horizontal="left"/>
      <protection/>
    </xf>
    <xf numFmtId="0" fontId="47" fillId="33" borderId="0" xfId="53" applyFont="1" applyFill="1" applyBorder="1" applyAlignment="1">
      <alignment horizontal="left"/>
      <protection/>
    </xf>
    <xf numFmtId="0" fontId="47" fillId="33" borderId="51" xfId="53" applyFont="1" applyFill="1" applyBorder="1" applyAlignment="1">
      <alignment horizontal="left"/>
      <protection/>
    </xf>
    <xf numFmtId="0" fontId="46" fillId="33" borderId="0" xfId="53" applyFont="1" applyFill="1" applyAlignment="1">
      <alignment horizontal="left"/>
      <protection/>
    </xf>
    <xf numFmtId="0" fontId="4" fillId="33" borderId="0" xfId="0" applyFont="1" applyFill="1" applyBorder="1" applyAlignment="1">
      <alignment horizontal="center"/>
    </xf>
    <xf numFmtId="0" fontId="7" fillId="35" borderId="0" xfId="53" applyFont="1" applyFill="1" applyAlignment="1">
      <alignment horizontal="left"/>
      <protection/>
    </xf>
    <xf numFmtId="0" fontId="8" fillId="33" borderId="21" xfId="53" applyFont="1" applyFill="1" applyBorder="1" applyAlignment="1">
      <alignment horizontal="left" wrapText="1"/>
      <protection/>
    </xf>
    <xf numFmtId="0" fontId="8" fillId="33" borderId="0" xfId="53" applyFont="1" applyFill="1" applyBorder="1" applyAlignment="1">
      <alignment horizontal="left" wrapText="1"/>
      <protection/>
    </xf>
    <xf numFmtId="0" fontId="32" fillId="33" borderId="61" xfId="53" applyFont="1" applyFill="1" applyBorder="1" applyAlignment="1">
      <alignment horizontal="left" wrapText="1"/>
      <protection/>
    </xf>
    <xf numFmtId="0" fontId="32" fillId="33" borderId="62" xfId="53" applyFont="1" applyFill="1" applyBorder="1" applyAlignment="1">
      <alignment horizontal="left" wrapText="1"/>
      <protection/>
    </xf>
    <xf numFmtId="0" fontId="36" fillId="35" borderId="0" xfId="53" applyFont="1" applyFill="1" applyAlignment="1">
      <alignment horizontal="left" wrapText="1"/>
      <protection/>
    </xf>
    <xf numFmtId="1" fontId="12" fillId="35" borderId="11" xfId="53" applyNumberFormat="1" applyFont="1" applyFill="1" applyBorder="1" applyAlignment="1" applyProtection="1">
      <alignment horizontal="center"/>
      <protection hidden="1"/>
    </xf>
    <xf numFmtId="1" fontId="12" fillId="35" borderId="0" xfId="53" applyNumberFormat="1" applyFont="1" applyFill="1" applyBorder="1" applyAlignment="1" applyProtection="1">
      <alignment horizontal="center"/>
      <protection hidden="1"/>
    </xf>
    <xf numFmtId="0" fontId="4" fillId="33" borderId="0" xfId="53" applyFont="1" applyFill="1" applyAlignment="1">
      <alignment horizontal="left"/>
      <protection/>
    </xf>
    <xf numFmtId="0" fontId="8" fillId="39" borderId="0" xfId="53" applyFont="1" applyFill="1" applyBorder="1" applyAlignment="1">
      <alignment horizontal="left" wrapText="1"/>
      <protection/>
    </xf>
    <xf numFmtId="0" fontId="6" fillId="33" borderId="39" xfId="53" applyFont="1" applyFill="1" applyBorder="1" applyAlignment="1" applyProtection="1">
      <alignment horizontal="left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7" fillId="33" borderId="10" xfId="53" applyFont="1" applyFill="1" applyBorder="1" applyAlignment="1" applyProtection="1">
      <alignment horizontal="left"/>
      <protection hidden="1"/>
    </xf>
    <xf numFmtId="0" fontId="57" fillId="33" borderId="0" xfId="0" applyFont="1" applyFill="1" applyBorder="1" applyAlignment="1">
      <alignment horizontal="center" vertical="center"/>
    </xf>
    <xf numFmtId="0" fontId="6" fillId="33" borderId="39" xfId="53" applyFont="1" applyFill="1" applyBorder="1" applyAlignment="1" applyProtection="1">
      <alignment horizontal="left"/>
      <protection hidden="1"/>
    </xf>
    <xf numFmtId="0" fontId="6" fillId="35" borderId="0" xfId="53" applyFont="1" applyFill="1" applyBorder="1" applyAlignment="1" applyProtection="1">
      <alignment horizontal="left"/>
      <protection hidden="1"/>
    </xf>
    <xf numFmtId="0" fontId="7" fillId="33" borderId="28" xfId="53" applyFont="1" applyFill="1" applyBorder="1" applyAlignment="1" applyProtection="1">
      <alignment horizontal="center"/>
      <protection hidden="1"/>
    </xf>
    <xf numFmtId="0" fontId="6" fillId="33" borderId="0" xfId="53" applyFont="1" applyFill="1" applyBorder="1" applyAlignment="1" applyProtection="1">
      <alignment horizontal="center"/>
      <protection hidden="1"/>
    </xf>
    <xf numFmtId="0" fontId="32" fillId="33" borderId="0" xfId="53" applyFont="1" applyFill="1" applyAlignment="1" applyProtection="1">
      <alignment horizontal="center"/>
      <protection hidden="1"/>
    </xf>
    <xf numFmtId="0" fontId="32" fillId="33" borderId="0" xfId="0" applyFont="1" applyFill="1" applyBorder="1" applyAlignment="1">
      <alignment horizontal="center"/>
    </xf>
    <xf numFmtId="1" fontId="3" fillId="35" borderId="11" xfId="53" applyNumberFormat="1" applyFont="1" applyFill="1" applyBorder="1" applyAlignment="1" applyProtection="1">
      <alignment horizontal="center"/>
      <protection hidden="1"/>
    </xf>
    <xf numFmtId="1" fontId="3" fillId="35" borderId="0" xfId="53" applyNumberFormat="1" applyFont="1" applyFill="1" applyBorder="1" applyAlignment="1" applyProtection="1">
      <alignment horizontal="center"/>
      <protection hidden="1"/>
    </xf>
    <xf numFmtId="0" fontId="12" fillId="34" borderId="34" xfId="53" applyFont="1" applyFill="1" applyBorder="1" applyAlignment="1" applyProtection="1">
      <alignment horizontal="left" vertical="center"/>
      <protection hidden="1"/>
    </xf>
    <xf numFmtId="0" fontId="12" fillId="34" borderId="32" xfId="53" applyFont="1" applyFill="1" applyBorder="1" applyAlignment="1" applyProtection="1">
      <alignment horizontal="left" vertical="center"/>
      <protection hidden="1"/>
    </xf>
    <xf numFmtId="0" fontId="4" fillId="33" borderId="0" xfId="53" applyFont="1" applyFill="1" applyBorder="1" applyAlignment="1" applyProtection="1">
      <alignment horizontal="center"/>
      <protection hidden="1"/>
    </xf>
    <xf numFmtId="0" fontId="32" fillId="33" borderId="0" xfId="53" applyFont="1" applyFill="1" applyBorder="1" applyAlignment="1" applyProtection="1">
      <alignment horizontal="center"/>
      <protection hidden="1"/>
    </xf>
    <xf numFmtId="0" fontId="17" fillId="33" borderId="35" xfId="53" applyFont="1" applyFill="1" applyBorder="1" applyAlignment="1" applyProtection="1">
      <alignment horizontal="left"/>
      <protection hidden="1"/>
    </xf>
    <xf numFmtId="0" fontId="54" fillId="33" borderId="14" xfId="53" applyFont="1" applyFill="1" applyBorder="1" applyAlignment="1" applyProtection="1">
      <alignment horizontal="left"/>
      <protection hidden="1"/>
    </xf>
    <xf numFmtId="0" fontId="54" fillId="33" borderId="10" xfId="53" applyFont="1" applyFill="1" applyBorder="1" applyAlignment="1" applyProtection="1">
      <alignment horizontal="left"/>
      <protection hidden="1"/>
    </xf>
    <xf numFmtId="0" fontId="12" fillId="34" borderId="12" xfId="53" applyFont="1" applyFill="1" applyBorder="1" applyAlignment="1" applyProtection="1">
      <alignment horizontal="center" vertical="center"/>
      <protection hidden="1"/>
    </xf>
    <xf numFmtId="0" fontId="57" fillId="33" borderId="11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12" fillId="34" borderId="37" xfId="53" applyFont="1" applyFill="1" applyBorder="1" applyAlignment="1" applyProtection="1">
      <alignment horizontal="center" wrapText="1"/>
      <protection hidden="1"/>
    </xf>
    <xf numFmtId="0" fontId="12" fillId="34" borderId="46" xfId="53" applyFont="1" applyFill="1" applyBorder="1" applyAlignment="1" applyProtection="1">
      <alignment horizontal="center" wrapText="1"/>
      <protection hidden="1"/>
    </xf>
    <xf numFmtId="0" fontId="7" fillId="33" borderId="39" xfId="53" applyFont="1" applyFill="1" applyBorder="1" applyAlignment="1" applyProtection="1">
      <alignment horizontal="left"/>
      <protection hidden="1"/>
    </xf>
    <xf numFmtId="0" fontId="28" fillId="34" borderId="36" xfId="53" applyFont="1" applyFill="1" applyBorder="1" applyAlignment="1" applyProtection="1">
      <alignment horizontal="center"/>
      <protection hidden="1"/>
    </xf>
    <xf numFmtId="0" fontId="28" fillId="34" borderId="23" xfId="53" applyFont="1" applyFill="1" applyBorder="1" applyAlignment="1" applyProtection="1">
      <alignment horizontal="center"/>
      <protection hidden="1"/>
    </xf>
    <xf numFmtId="0" fontId="12" fillId="34" borderId="39" xfId="53" applyFont="1" applyFill="1" applyBorder="1" applyAlignment="1" applyProtection="1">
      <alignment horizontal="center" vertical="center"/>
      <protection hidden="1"/>
    </xf>
    <xf numFmtId="0" fontId="12" fillId="34" borderId="0" xfId="53" applyFont="1" applyFill="1" applyBorder="1" applyAlignment="1" applyProtection="1">
      <alignment horizontal="center" vertical="center"/>
      <protection hidden="1"/>
    </xf>
    <xf numFmtId="0" fontId="12" fillId="34" borderId="34" xfId="53" applyFont="1" applyFill="1" applyBorder="1" applyAlignment="1" applyProtection="1">
      <alignment horizontal="center"/>
      <protection hidden="1"/>
    </xf>
    <xf numFmtId="0" fontId="12" fillId="34" borderId="32" xfId="53" applyFont="1" applyFill="1" applyBorder="1" applyAlignment="1" applyProtection="1">
      <alignment horizontal="center"/>
      <protection hidden="1"/>
    </xf>
    <xf numFmtId="0" fontId="12" fillId="34" borderId="11" xfId="53" applyFont="1" applyFill="1" applyBorder="1" applyAlignment="1" applyProtection="1">
      <alignment horizontal="center"/>
      <protection hidden="1"/>
    </xf>
    <xf numFmtId="0" fontId="12" fillId="35" borderId="11" xfId="53" applyFont="1" applyFill="1" applyBorder="1" applyAlignment="1" applyProtection="1">
      <alignment horizontal="center"/>
      <protection hidden="1"/>
    </xf>
    <xf numFmtId="0" fontId="12" fillId="34" borderId="23" xfId="53" applyFont="1" applyFill="1" applyBorder="1" applyAlignment="1" applyProtection="1">
      <alignment horizontal="center"/>
      <protection hidden="1"/>
    </xf>
    <xf numFmtId="0" fontId="12" fillId="34" borderId="37" xfId="53" applyFont="1" applyFill="1" applyBorder="1" applyAlignment="1" applyProtection="1">
      <alignment horizontal="center"/>
      <protection hidden="1"/>
    </xf>
    <xf numFmtId="0" fontId="12" fillId="34" borderId="35" xfId="53" applyFont="1" applyFill="1" applyBorder="1" applyAlignment="1" applyProtection="1">
      <alignment horizontal="center"/>
      <protection hidden="1"/>
    </xf>
    <xf numFmtId="0" fontId="8" fillId="33" borderId="0" xfId="53" applyFont="1" applyFill="1" applyBorder="1" applyAlignment="1">
      <alignment horizontal="left"/>
      <protection/>
    </xf>
    <xf numFmtId="0" fontId="12" fillId="34" borderId="14" xfId="53" applyFont="1" applyFill="1" applyBorder="1" applyAlignment="1" applyProtection="1">
      <alignment horizontal="center" vertical="center"/>
      <protection hidden="1"/>
    </xf>
    <xf numFmtId="0" fontId="12" fillId="34" borderId="41" xfId="53" applyFont="1" applyFill="1" applyBorder="1" applyAlignment="1" applyProtection="1">
      <alignment horizontal="center" vertical="center"/>
      <protection hidden="1"/>
    </xf>
    <xf numFmtId="0" fontId="12" fillId="34" borderId="37" xfId="53" applyFont="1" applyFill="1" applyBorder="1" applyAlignment="1" applyProtection="1">
      <alignment vertical="center"/>
      <protection hidden="1"/>
    </xf>
    <xf numFmtId="0" fontId="12" fillId="34" borderId="46" xfId="53" applyFont="1" applyFill="1" applyBorder="1" applyAlignment="1" applyProtection="1">
      <alignment vertical="center"/>
      <protection hidden="1"/>
    </xf>
    <xf numFmtId="0" fontId="12" fillId="34" borderId="44" xfId="53" applyFont="1" applyFill="1" applyBorder="1" applyAlignment="1" applyProtection="1">
      <alignment vertical="center"/>
      <protection hidden="1"/>
    </xf>
    <xf numFmtId="0" fontId="12" fillId="34" borderId="58" xfId="53" applyFont="1" applyFill="1" applyBorder="1" applyAlignment="1" applyProtection="1">
      <alignment vertical="center"/>
      <protection hidden="1"/>
    </xf>
    <xf numFmtId="0" fontId="12" fillId="34" borderId="34" xfId="53" applyFont="1" applyFill="1" applyBorder="1" applyAlignment="1" applyProtection="1">
      <alignment vertical="center"/>
      <protection hidden="1"/>
    </xf>
    <xf numFmtId="0" fontId="12" fillId="34" borderId="22" xfId="53" applyFont="1" applyFill="1" applyBorder="1" applyAlignment="1" applyProtection="1">
      <alignment vertical="center"/>
      <protection hidden="1"/>
    </xf>
    <xf numFmtId="0" fontId="32" fillId="33" borderId="0" xfId="53" applyFont="1" applyFill="1" applyBorder="1" applyAlignment="1" applyProtection="1">
      <alignment horizontal="center"/>
      <protection hidden="1"/>
    </xf>
    <xf numFmtId="0" fontId="17" fillId="33" borderId="39" xfId="53" applyFont="1" applyFill="1" applyBorder="1" applyAlignment="1" applyProtection="1">
      <alignment horizontal="left"/>
      <protection hidden="1"/>
    </xf>
    <xf numFmtId="0" fontId="17" fillId="33" borderId="0" xfId="53" applyFont="1" applyFill="1" applyBorder="1" applyAlignment="1" applyProtection="1">
      <alignment horizontal="left"/>
      <protection hidden="1"/>
    </xf>
    <xf numFmtId="0" fontId="17" fillId="33" borderId="10" xfId="53" applyFont="1" applyFill="1" applyBorder="1" applyAlignment="1" applyProtection="1">
      <alignment horizontal="left"/>
      <protection hidden="1"/>
    </xf>
    <xf numFmtId="0" fontId="6" fillId="33" borderId="34" xfId="53" applyFont="1" applyFill="1" applyBorder="1" applyAlignment="1" applyProtection="1">
      <alignment horizontal="left"/>
      <protection hidden="1"/>
    </xf>
    <xf numFmtId="0" fontId="6" fillId="33" borderId="32" xfId="53" applyFont="1" applyFill="1" applyBorder="1" applyAlignment="1" applyProtection="1">
      <alignment horizontal="left"/>
      <protection hidden="1"/>
    </xf>
    <xf numFmtId="0" fontId="6" fillId="33" borderId="22" xfId="53" applyFont="1" applyFill="1" applyBorder="1" applyAlignment="1" applyProtection="1">
      <alignment horizontal="left"/>
      <protection hidden="1"/>
    </xf>
    <xf numFmtId="1" fontId="3" fillId="35" borderId="11" xfId="53" applyNumberFormat="1" applyFont="1" applyFill="1" applyBorder="1" applyAlignment="1" applyProtection="1">
      <alignment horizontal="center"/>
      <protection hidden="1"/>
    </xf>
    <xf numFmtId="1" fontId="3" fillId="35" borderId="0" xfId="53" applyNumberFormat="1" applyFont="1" applyFill="1" applyBorder="1" applyAlignment="1" applyProtection="1">
      <alignment horizontal="center"/>
      <protection hidden="1"/>
    </xf>
    <xf numFmtId="0" fontId="12" fillId="34" borderId="19" xfId="53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 applyProtection="1">
      <alignment horizontal="center"/>
      <protection hidden="1"/>
    </xf>
    <xf numFmtId="0" fontId="30" fillId="33" borderId="10" xfId="53" applyFont="1" applyFill="1" applyBorder="1" applyAlignment="1" applyProtection="1">
      <alignment horizontal="center"/>
      <protection hidden="1"/>
    </xf>
    <xf numFmtId="0" fontId="7" fillId="33" borderId="0" xfId="53" applyFont="1" applyFill="1" applyBorder="1" applyAlignment="1" applyProtection="1">
      <alignment horizontal="center"/>
      <protection hidden="1"/>
    </xf>
    <xf numFmtId="0" fontId="6" fillId="33" borderId="11" xfId="53" applyFont="1" applyFill="1" applyBorder="1" applyAlignment="1" applyProtection="1">
      <alignment horizontal="left"/>
      <protection hidden="1"/>
    </xf>
    <xf numFmtId="0" fontId="12" fillId="34" borderId="14" xfId="53" applyFont="1" applyFill="1" applyBorder="1" applyAlignment="1" applyProtection="1">
      <alignment horizontal="center" vertical="center"/>
      <protection hidden="1"/>
    </xf>
    <xf numFmtId="0" fontId="12" fillId="34" borderId="41" xfId="53" applyFont="1" applyFill="1" applyBorder="1" applyAlignment="1" applyProtection="1">
      <alignment horizontal="center" vertical="center"/>
      <protection hidden="1"/>
    </xf>
    <xf numFmtId="184" fontId="5" fillId="35" borderId="14" xfId="0" applyNumberFormat="1" applyFont="1" applyFill="1" applyBorder="1" applyAlignment="1" applyProtection="1">
      <alignment horizontal="center"/>
      <protection hidden="1"/>
    </xf>
    <xf numFmtId="184" fontId="5" fillId="35" borderId="41" xfId="0" applyNumberFormat="1" applyFont="1" applyFill="1" applyBorder="1" applyAlignment="1" applyProtection="1">
      <alignment horizontal="center"/>
      <protection hidden="1"/>
    </xf>
    <xf numFmtId="0" fontId="12" fillId="34" borderId="46" xfId="53" applyFont="1" applyFill="1" applyBorder="1" applyAlignment="1" applyProtection="1">
      <alignment horizontal="center"/>
      <protection hidden="1"/>
    </xf>
    <xf numFmtId="0" fontId="32" fillId="33" borderId="0" xfId="53" applyFont="1" applyFill="1" applyAlignment="1" applyProtection="1">
      <alignment horizontal="center" vertical="center"/>
      <protection hidden="1"/>
    </xf>
    <xf numFmtId="0" fontId="30" fillId="33" borderId="10" xfId="53" applyFont="1" applyFill="1" applyBorder="1" applyAlignment="1" applyProtection="1">
      <alignment horizontal="center" vertical="center"/>
      <protection hidden="1"/>
    </xf>
    <xf numFmtId="0" fontId="32" fillId="33" borderId="10" xfId="53" applyFont="1" applyFill="1" applyBorder="1" applyAlignment="1" applyProtection="1">
      <alignment horizontal="center"/>
      <protection hidden="1"/>
    </xf>
    <xf numFmtId="0" fontId="6" fillId="35" borderId="32" xfId="53" applyFont="1" applyFill="1" applyBorder="1" applyAlignment="1" applyProtection="1">
      <alignment horizontal="left"/>
      <protection hidden="1"/>
    </xf>
    <xf numFmtId="0" fontId="7" fillId="33" borderId="37" xfId="53" applyFont="1" applyFill="1" applyBorder="1" applyAlignment="1" applyProtection="1">
      <alignment horizontal="left"/>
      <protection hidden="1"/>
    </xf>
    <xf numFmtId="0" fontId="7" fillId="33" borderId="35" xfId="53" applyFont="1" applyFill="1" applyBorder="1" applyAlignment="1" applyProtection="1">
      <alignment horizontal="left"/>
      <protection hidden="1"/>
    </xf>
    <xf numFmtId="0" fontId="7" fillId="33" borderId="32" xfId="53" applyFont="1" applyFill="1" applyBorder="1" applyAlignment="1" applyProtection="1">
      <alignment horizontal="left"/>
      <protection hidden="1"/>
    </xf>
    <xf numFmtId="0" fontId="7" fillId="33" borderId="22" xfId="53" applyFont="1" applyFill="1" applyBorder="1" applyAlignment="1" applyProtection="1">
      <alignment horizontal="left"/>
      <protection hidden="1"/>
    </xf>
    <xf numFmtId="0" fontId="7" fillId="0" borderId="18" xfId="53" applyFont="1" applyBorder="1" applyAlignment="1" applyProtection="1">
      <alignment/>
      <protection hidden="1"/>
    </xf>
    <xf numFmtId="0" fontId="7" fillId="0" borderId="10" xfId="53" applyFont="1" applyBorder="1" applyAlignment="1" applyProtection="1">
      <alignment/>
      <protection hidden="1"/>
    </xf>
    <xf numFmtId="0" fontId="12" fillId="34" borderId="58" xfId="53" applyFont="1" applyFill="1" applyBorder="1" applyAlignment="1" applyProtection="1">
      <alignment horizontal="center" vertical="center"/>
      <protection hidden="1"/>
    </xf>
    <xf numFmtId="0" fontId="2" fillId="35" borderId="11" xfId="53" applyFont="1" applyFill="1" applyBorder="1" applyAlignment="1" applyProtection="1">
      <alignment horizontal="center"/>
      <protection hidden="1"/>
    </xf>
    <xf numFmtId="0" fontId="2" fillId="35" borderId="0" xfId="53" applyFont="1" applyFill="1" applyBorder="1" applyAlignment="1" applyProtection="1">
      <alignment horizontal="center"/>
      <protection hidden="1"/>
    </xf>
    <xf numFmtId="0" fontId="13" fillId="34" borderId="36" xfId="53" applyFont="1" applyFill="1" applyBorder="1" applyAlignment="1" applyProtection="1">
      <alignment horizontal="center"/>
      <protection hidden="1"/>
    </xf>
    <xf numFmtId="0" fontId="13" fillId="34" borderId="12" xfId="53" applyFont="1" applyFill="1" applyBorder="1" applyAlignment="1" applyProtection="1">
      <alignment horizontal="center"/>
      <protection hidden="1"/>
    </xf>
    <xf numFmtId="1" fontId="12" fillId="33" borderId="11" xfId="53" applyNumberFormat="1" applyFont="1" applyFill="1" applyBorder="1" applyAlignment="1" applyProtection="1">
      <alignment horizontal="center" vertical="center"/>
      <protection hidden="1"/>
    </xf>
    <xf numFmtId="1" fontId="12" fillId="34" borderId="32" xfId="53" applyNumberFormat="1" applyFont="1" applyFill="1" applyBorder="1" applyAlignment="1" applyProtection="1">
      <alignment horizontal="center" vertical="center"/>
      <protection hidden="1"/>
    </xf>
    <xf numFmtId="0" fontId="32" fillId="33" borderId="0" xfId="53" applyFont="1" applyFill="1" applyAlignment="1" applyProtection="1">
      <alignment horizontal="center"/>
      <protection hidden="1"/>
    </xf>
    <xf numFmtId="0" fontId="8" fillId="33" borderId="28" xfId="53" applyFont="1" applyFill="1" applyBorder="1" applyAlignment="1">
      <alignment horizontal="left"/>
      <protection/>
    </xf>
    <xf numFmtId="0" fontId="32" fillId="33" borderId="0" xfId="53" applyFont="1" applyFill="1" applyBorder="1" applyAlignment="1" applyProtection="1">
      <alignment horizontal="left"/>
      <protection hidden="1"/>
    </xf>
    <xf numFmtId="0" fontId="2" fillId="0" borderId="0" xfId="53" applyProtection="1">
      <alignment/>
      <protection hidden="1"/>
    </xf>
    <xf numFmtId="0" fontId="6" fillId="0" borderId="0" xfId="53" applyFont="1" applyBorder="1" applyAlignment="1" applyProtection="1">
      <alignment horizontal="left"/>
      <protection hidden="1"/>
    </xf>
    <xf numFmtId="0" fontId="6" fillId="33" borderId="34" xfId="53" applyFont="1" applyFill="1" applyBorder="1" applyAlignment="1" applyProtection="1">
      <alignment horizontal="left"/>
      <protection hidden="1"/>
    </xf>
    <xf numFmtId="1" fontId="8" fillId="40" borderId="0" xfId="0" applyNumberFormat="1" applyFont="1" applyFill="1" applyBorder="1" applyAlignment="1">
      <alignment horizontal="left" wrapText="1"/>
    </xf>
    <xf numFmtId="0" fontId="8" fillId="33" borderId="10" xfId="53" applyFont="1" applyFill="1" applyBorder="1" applyAlignment="1" applyProtection="1">
      <alignment horizontal="center"/>
      <protection hidden="1"/>
    </xf>
    <xf numFmtId="0" fontId="12" fillId="34" borderId="21" xfId="53" applyFont="1" applyFill="1" applyBorder="1" applyAlignment="1" applyProtection="1">
      <alignment horizontal="center" vertical="center"/>
      <protection hidden="1"/>
    </xf>
    <xf numFmtId="0" fontId="2" fillId="34" borderId="26" xfId="53" applyFill="1" applyBorder="1" applyAlignment="1" applyProtection="1">
      <alignment horizontal="center" vertical="center"/>
      <protection hidden="1"/>
    </xf>
    <xf numFmtId="0" fontId="28" fillId="34" borderId="12" xfId="53" applyFont="1" applyFill="1" applyBorder="1" applyAlignment="1" applyProtection="1">
      <alignment horizontal="center"/>
      <protection hidden="1"/>
    </xf>
    <xf numFmtId="0" fontId="12" fillId="34" borderId="24" xfId="53" applyFont="1" applyFill="1" applyBorder="1" applyAlignment="1" applyProtection="1">
      <alignment horizontal="center" vertical="center"/>
      <protection hidden="1"/>
    </xf>
    <xf numFmtId="0" fontId="12" fillId="34" borderId="30" xfId="53" applyFont="1" applyFill="1" applyBorder="1" applyAlignment="1" applyProtection="1">
      <alignment horizontal="center" vertical="center"/>
      <protection hidden="1"/>
    </xf>
    <xf numFmtId="0" fontId="7" fillId="35" borderId="0" xfId="53" applyFont="1" applyFill="1" applyBorder="1" applyAlignment="1" applyProtection="1">
      <alignment/>
      <protection hidden="1"/>
    </xf>
    <xf numFmtId="1" fontId="12" fillId="34" borderId="35" xfId="53" applyNumberFormat="1" applyFont="1" applyFill="1" applyBorder="1" applyAlignment="1" applyProtection="1">
      <alignment horizontal="center" vertical="center"/>
      <protection hidden="1"/>
    </xf>
    <xf numFmtId="0" fontId="6" fillId="33" borderId="11" xfId="53" applyFont="1" applyFill="1" applyBorder="1" applyAlignment="1">
      <alignment horizontal="left"/>
      <protection/>
    </xf>
    <xf numFmtId="0" fontId="6" fillId="33" borderId="0" xfId="53" applyFont="1" applyFill="1" applyBorder="1" applyAlignment="1">
      <alignment horizontal="left"/>
      <protection/>
    </xf>
    <xf numFmtId="0" fontId="12" fillId="34" borderId="35" xfId="53" applyFont="1" applyFill="1" applyBorder="1" applyAlignment="1" applyProtection="1">
      <alignment horizontal="center" vertical="center"/>
      <protection hidden="1"/>
    </xf>
    <xf numFmtId="0" fontId="7" fillId="33" borderId="34" xfId="53" applyFont="1" applyFill="1" applyBorder="1" applyAlignment="1" applyProtection="1">
      <alignment horizontal="left"/>
      <protection hidden="1"/>
    </xf>
    <xf numFmtId="0" fontId="7" fillId="33" borderId="32" xfId="53" applyFont="1" applyFill="1" applyBorder="1" applyAlignment="1" applyProtection="1">
      <alignment horizontal="left"/>
      <protection hidden="1"/>
    </xf>
    <xf numFmtId="0" fontId="12" fillId="34" borderId="10" xfId="53" applyFont="1" applyFill="1" applyBorder="1" applyAlignment="1" applyProtection="1">
      <alignment horizontal="center" vertical="center"/>
      <protection hidden="1"/>
    </xf>
    <xf numFmtId="0" fontId="12" fillId="34" borderId="37" xfId="53" applyFont="1" applyFill="1" applyBorder="1" applyAlignment="1" applyProtection="1">
      <alignment/>
      <protection hidden="1"/>
    </xf>
    <xf numFmtId="0" fontId="12" fillId="34" borderId="35" xfId="53" applyFont="1" applyFill="1" applyBorder="1" applyAlignment="1" applyProtection="1">
      <alignment/>
      <protection hidden="1"/>
    </xf>
    <xf numFmtId="0" fontId="8" fillId="33" borderId="39" xfId="0" applyFont="1" applyFill="1" applyBorder="1" applyAlignment="1" applyProtection="1">
      <alignment wrapText="1"/>
      <protection hidden="1"/>
    </xf>
    <xf numFmtId="0" fontId="8" fillId="33" borderId="0" xfId="0" applyFont="1" applyFill="1" applyBorder="1" applyAlignment="1" applyProtection="1">
      <alignment wrapText="1"/>
      <protection hidden="1"/>
    </xf>
    <xf numFmtId="0" fontId="12" fillId="34" borderId="34" xfId="53" applyFont="1" applyFill="1" applyBorder="1" applyAlignment="1" applyProtection="1">
      <alignment horizontal="center"/>
      <protection hidden="1"/>
    </xf>
    <xf numFmtId="0" fontId="12" fillId="34" borderId="32" xfId="53" applyFont="1" applyFill="1" applyBorder="1" applyAlignment="1" applyProtection="1">
      <alignment horizontal="center"/>
      <protection hidden="1"/>
    </xf>
    <xf numFmtId="1" fontId="16" fillId="33" borderId="10" xfId="53" applyNumberFormat="1" applyFont="1" applyFill="1" applyBorder="1" applyAlignment="1" applyProtection="1">
      <alignment horizontal="center"/>
      <protection hidden="1"/>
    </xf>
    <xf numFmtId="0" fontId="12" fillId="34" borderId="12" xfId="53" applyFont="1" applyFill="1" applyBorder="1" applyAlignment="1" applyProtection="1">
      <alignment horizontal="center" vertical="center"/>
      <protection hidden="1"/>
    </xf>
    <xf numFmtId="0" fontId="12" fillId="34" borderId="23" xfId="53" applyFont="1" applyFill="1" applyBorder="1" applyAlignment="1" applyProtection="1">
      <alignment horizontal="center" vertical="center"/>
      <protection hidden="1"/>
    </xf>
    <xf numFmtId="0" fontId="12" fillId="34" borderId="22" xfId="53" applyFont="1" applyFill="1" applyBorder="1" applyAlignment="1" applyProtection="1">
      <alignment horizontal="center"/>
      <protection hidden="1"/>
    </xf>
    <xf numFmtId="0" fontId="12" fillId="35" borderId="11" xfId="53" applyFont="1" applyFill="1" applyBorder="1" applyAlignment="1" applyProtection="1">
      <alignment horizontal="left"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V170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37.28125" style="0" customWidth="1"/>
    <col min="2" max="2" width="58.57421875" style="0" customWidth="1"/>
    <col min="3" max="3" width="11.28125" style="0" customWidth="1"/>
    <col min="4" max="4" width="10.00390625" style="0" customWidth="1"/>
    <col min="5" max="5" width="10.57421875" style="0" customWidth="1"/>
    <col min="6" max="6" width="10.00390625" style="0" customWidth="1"/>
    <col min="7" max="7" width="10.28125" style="0" customWidth="1"/>
    <col min="8" max="8" width="11.28125" style="0" customWidth="1"/>
    <col min="9" max="9" width="11.140625" style="0" customWidth="1"/>
    <col min="10" max="10" width="11.28125" style="0" customWidth="1"/>
    <col min="11" max="11" width="10.7109375" style="403" customWidth="1"/>
    <col min="12" max="12" width="9.57421875" style="403" customWidth="1"/>
    <col min="13" max="13" width="10.7109375" style="0" customWidth="1"/>
    <col min="14" max="14" width="9.8515625" style="244" customWidth="1"/>
    <col min="15" max="15" width="9.28125" style="244" customWidth="1"/>
    <col min="16" max="16" width="10.421875" style="244" customWidth="1"/>
    <col min="17" max="17" width="9.00390625" style="244" customWidth="1"/>
    <col min="18" max="18" width="10.140625" style="244" customWidth="1"/>
    <col min="19" max="25" width="9.00390625" style="244" customWidth="1"/>
    <col min="26" max="26" width="0" style="0" hidden="1" customWidth="1"/>
  </cols>
  <sheetData>
    <row r="1" spans="1:26" s="809" customFormat="1" ht="36" customHeight="1" thickBot="1">
      <c r="A1" s="917" t="s">
        <v>879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9"/>
      <c r="Z1" s="809">
        <v>1.3</v>
      </c>
    </row>
    <row r="2" spans="1:14" ht="13.5" customHeight="1">
      <c r="A2" s="575"/>
      <c r="B2" s="575"/>
      <c r="C2" s="576"/>
      <c r="D2" s="576"/>
      <c r="E2" s="576"/>
      <c r="F2" s="576"/>
      <c r="G2" s="576"/>
      <c r="H2" s="576"/>
      <c r="I2" s="576"/>
      <c r="J2" s="576"/>
      <c r="K2" s="576"/>
      <c r="L2" s="577"/>
      <c r="M2" s="18"/>
      <c r="N2" s="226"/>
    </row>
    <row r="3" spans="1:14" ht="51" customHeight="1">
      <c r="A3" s="926" t="s">
        <v>606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558"/>
      <c r="M3" s="18"/>
      <c r="N3" s="226"/>
    </row>
    <row r="4" spans="1:256" ht="25.5" customHeight="1">
      <c r="A4" s="549"/>
      <c r="B4" s="926" t="s">
        <v>598</v>
      </c>
      <c r="C4" s="926"/>
      <c r="D4" s="926"/>
      <c r="E4" s="926"/>
      <c r="F4" s="926"/>
      <c r="G4" s="926"/>
      <c r="H4" s="546"/>
      <c r="I4" s="546"/>
      <c r="J4" s="547"/>
      <c r="K4" s="548"/>
      <c r="L4" s="559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3"/>
      <c r="BK4" s="403"/>
      <c r="BL4" s="403"/>
      <c r="BM4" s="403"/>
      <c r="BN4" s="403"/>
      <c r="BO4" s="403"/>
      <c r="BP4" s="403"/>
      <c r="BQ4" s="403"/>
      <c r="BR4" s="403"/>
      <c r="BS4" s="403"/>
      <c r="BT4" s="403"/>
      <c r="BU4" s="403"/>
      <c r="BV4" s="403"/>
      <c r="BW4" s="403"/>
      <c r="BX4" s="403"/>
      <c r="BY4" s="403"/>
      <c r="BZ4" s="403"/>
      <c r="CA4" s="403"/>
      <c r="CB4" s="403"/>
      <c r="CC4" s="403"/>
      <c r="CD4" s="403"/>
      <c r="CE4" s="403"/>
      <c r="CF4" s="403"/>
      <c r="CG4" s="403"/>
      <c r="CH4" s="403"/>
      <c r="CI4" s="403"/>
      <c r="CJ4" s="403"/>
      <c r="CK4" s="403"/>
      <c r="CL4" s="403"/>
      <c r="CM4" s="403"/>
      <c r="CN4" s="403"/>
      <c r="CO4" s="403"/>
      <c r="CP4" s="403"/>
      <c r="CQ4" s="403"/>
      <c r="CR4" s="403"/>
      <c r="CS4" s="403"/>
      <c r="CT4" s="403"/>
      <c r="CU4" s="403"/>
      <c r="CV4" s="403"/>
      <c r="CW4" s="403"/>
      <c r="CX4" s="403"/>
      <c r="CY4" s="403"/>
      <c r="CZ4" s="403"/>
      <c r="DA4" s="403"/>
      <c r="DB4" s="403"/>
      <c r="DC4" s="403"/>
      <c r="DD4" s="403"/>
      <c r="DE4" s="403"/>
      <c r="DF4" s="403"/>
      <c r="DG4" s="403"/>
      <c r="DH4" s="403"/>
      <c r="DI4" s="403"/>
      <c r="DJ4" s="403"/>
      <c r="DK4" s="403"/>
      <c r="DL4" s="403"/>
      <c r="DM4" s="403"/>
      <c r="DN4" s="403"/>
      <c r="DO4" s="403"/>
      <c r="DP4" s="403"/>
      <c r="DQ4" s="403"/>
      <c r="DR4" s="403"/>
      <c r="DS4" s="403"/>
      <c r="DT4" s="403"/>
      <c r="DU4" s="403"/>
      <c r="DV4" s="403"/>
      <c r="DW4" s="403"/>
      <c r="DX4" s="403"/>
      <c r="DY4" s="403"/>
      <c r="DZ4" s="403"/>
      <c r="EA4" s="403"/>
      <c r="EB4" s="403"/>
      <c r="EC4" s="403"/>
      <c r="ED4" s="403"/>
      <c r="EE4" s="403"/>
      <c r="EF4" s="403"/>
      <c r="EG4" s="403"/>
      <c r="EH4" s="403"/>
      <c r="EI4" s="403"/>
      <c r="EJ4" s="403"/>
      <c r="EK4" s="403"/>
      <c r="EL4" s="403"/>
      <c r="EM4" s="403"/>
      <c r="EN4" s="403"/>
      <c r="EO4" s="403"/>
      <c r="EP4" s="403"/>
      <c r="EQ4" s="403"/>
      <c r="ER4" s="403"/>
      <c r="ES4" s="403"/>
      <c r="ET4" s="403"/>
      <c r="EU4" s="403"/>
      <c r="EV4" s="403"/>
      <c r="EW4" s="403"/>
      <c r="EX4" s="403"/>
      <c r="EY4" s="403"/>
      <c r="EZ4" s="403"/>
      <c r="FA4" s="403"/>
      <c r="FB4" s="403"/>
      <c r="FC4" s="403"/>
      <c r="FD4" s="403"/>
      <c r="FE4" s="403"/>
      <c r="FF4" s="403"/>
      <c r="FG4" s="403"/>
      <c r="FH4" s="403"/>
      <c r="FI4" s="403"/>
      <c r="FJ4" s="403"/>
      <c r="FK4" s="403"/>
      <c r="FL4" s="403"/>
      <c r="FM4" s="403"/>
      <c r="FN4" s="403"/>
      <c r="FO4" s="403"/>
      <c r="FP4" s="403"/>
      <c r="FQ4" s="403"/>
      <c r="FR4" s="403"/>
      <c r="FS4" s="403"/>
      <c r="FT4" s="403"/>
      <c r="FU4" s="403"/>
      <c r="FV4" s="403"/>
      <c r="FW4" s="403"/>
      <c r="FX4" s="403"/>
      <c r="FY4" s="403"/>
      <c r="FZ4" s="403"/>
      <c r="GA4" s="403"/>
      <c r="GB4" s="403"/>
      <c r="GC4" s="403"/>
      <c r="GD4" s="403"/>
      <c r="GE4" s="403"/>
      <c r="GF4" s="403"/>
      <c r="GG4" s="403"/>
      <c r="GH4" s="403"/>
      <c r="GI4" s="403"/>
      <c r="GJ4" s="403"/>
      <c r="GK4" s="403"/>
      <c r="GL4" s="403"/>
      <c r="GM4" s="403"/>
      <c r="GN4" s="403"/>
      <c r="GO4" s="403"/>
      <c r="GP4" s="403"/>
      <c r="GQ4" s="403"/>
      <c r="GR4" s="403"/>
      <c r="GS4" s="403"/>
      <c r="GT4" s="403"/>
      <c r="GU4" s="403"/>
      <c r="GV4" s="403"/>
      <c r="GW4" s="403"/>
      <c r="GX4" s="403"/>
      <c r="GY4" s="403"/>
      <c r="GZ4" s="403"/>
      <c r="HA4" s="403"/>
      <c r="HB4" s="403"/>
      <c r="HC4" s="403"/>
      <c r="HD4" s="403"/>
      <c r="HE4" s="403"/>
      <c r="HF4" s="403"/>
      <c r="HG4" s="403"/>
      <c r="HH4" s="403"/>
      <c r="HI4" s="403"/>
      <c r="HJ4" s="403"/>
      <c r="HK4" s="403"/>
      <c r="HL4" s="403"/>
      <c r="HM4" s="403"/>
      <c r="HN4" s="403"/>
      <c r="HO4" s="403"/>
      <c r="HP4" s="403"/>
      <c r="HQ4" s="403"/>
      <c r="HR4" s="403"/>
      <c r="HS4" s="403"/>
      <c r="HT4" s="403"/>
      <c r="HU4" s="403"/>
      <c r="HV4" s="403"/>
      <c r="HW4" s="403"/>
      <c r="HX4" s="403"/>
      <c r="HY4" s="403"/>
      <c r="HZ4" s="403"/>
      <c r="IA4" s="403"/>
      <c r="IB4" s="403"/>
      <c r="IC4" s="403"/>
      <c r="ID4" s="403"/>
      <c r="IE4" s="403"/>
      <c r="IF4" s="403"/>
      <c r="IG4" s="403"/>
      <c r="IH4" s="403"/>
      <c r="II4" s="403"/>
      <c r="IJ4" s="403"/>
      <c r="IK4" s="403"/>
      <c r="IL4" s="403"/>
      <c r="IM4" s="403"/>
      <c r="IN4" s="403"/>
      <c r="IO4" s="403"/>
      <c r="IP4" s="403"/>
      <c r="IQ4" s="403"/>
      <c r="IR4" s="403"/>
      <c r="IS4" s="403"/>
      <c r="IT4" s="403"/>
      <c r="IU4" s="403"/>
      <c r="IV4" s="403"/>
    </row>
    <row r="5" spans="1:14" ht="6.75" customHeight="1">
      <c r="A5" s="927" t="s">
        <v>425</v>
      </c>
      <c r="B5" s="927"/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18"/>
      <c r="N5" s="226"/>
    </row>
    <row r="6" spans="1:14" ht="9" customHeight="1">
      <c r="A6" s="495"/>
      <c r="B6" s="495"/>
      <c r="C6" s="495"/>
      <c r="D6" s="495"/>
      <c r="E6" s="495"/>
      <c r="F6" s="495"/>
      <c r="G6" s="496"/>
      <c r="H6" s="496"/>
      <c r="I6" s="497"/>
      <c r="J6" s="491"/>
      <c r="K6" s="548"/>
      <c r="L6" s="558"/>
      <c r="M6" s="18"/>
      <c r="N6" s="226"/>
    </row>
    <row r="7" spans="1:14" ht="21.75" customHeight="1" thickBot="1">
      <c r="A7" s="920" t="s">
        <v>426</v>
      </c>
      <c r="B7" s="921"/>
      <c r="C7" s="495"/>
      <c r="D7" s="495"/>
      <c r="E7" s="495"/>
      <c r="F7" s="495"/>
      <c r="G7" s="496"/>
      <c r="H7" s="496"/>
      <c r="I7" s="497"/>
      <c r="J7" s="491"/>
      <c r="K7" s="548"/>
      <c r="L7" s="558"/>
      <c r="M7" s="18"/>
      <c r="N7" s="226"/>
    </row>
    <row r="8" spans="1:25" s="817" customFormat="1" ht="19.5" customHeight="1" thickTop="1">
      <c r="A8" s="810" t="s">
        <v>429</v>
      </c>
      <c r="B8" s="570"/>
      <c r="C8" s="568"/>
      <c r="D8" s="568"/>
      <c r="E8" s="568"/>
      <c r="F8" s="568"/>
      <c r="G8" s="569"/>
      <c r="H8" s="569"/>
      <c r="I8" s="500"/>
      <c r="J8" s="811"/>
      <c r="K8" s="812"/>
      <c r="L8" s="813"/>
      <c r="M8" s="814"/>
      <c r="N8" s="815"/>
      <c r="O8" s="816"/>
      <c r="P8" s="816"/>
      <c r="Q8" s="816"/>
      <c r="R8" s="816"/>
      <c r="S8" s="816"/>
      <c r="T8" s="816"/>
      <c r="U8" s="816"/>
      <c r="V8" s="816"/>
      <c r="W8" s="816"/>
      <c r="X8" s="816"/>
      <c r="Y8" s="816"/>
    </row>
    <row r="9" spans="1:25" s="817" customFormat="1" ht="15" customHeight="1">
      <c r="A9" s="810" t="s">
        <v>409</v>
      </c>
      <c r="B9" s="570"/>
      <c r="C9" s="568"/>
      <c r="D9" s="568"/>
      <c r="E9" s="568"/>
      <c r="F9" s="568"/>
      <c r="G9" s="569"/>
      <c r="H9" s="569"/>
      <c r="I9" s="500"/>
      <c r="J9" s="811"/>
      <c r="K9" s="812"/>
      <c r="L9" s="813"/>
      <c r="M9" s="814"/>
      <c r="N9" s="815"/>
      <c r="O9" s="816"/>
      <c r="P9" s="816"/>
      <c r="Q9" s="816"/>
      <c r="R9" s="816"/>
      <c r="S9" s="816"/>
      <c r="T9" s="816"/>
      <c r="U9" s="816"/>
      <c r="V9" s="816"/>
      <c r="W9" s="816"/>
      <c r="X9" s="816"/>
      <c r="Y9" s="816"/>
    </row>
    <row r="10" spans="1:25" s="817" customFormat="1" ht="15" customHeight="1">
      <c r="A10" s="810" t="s">
        <v>427</v>
      </c>
      <c r="B10" s="570"/>
      <c r="C10" s="568"/>
      <c r="D10" s="568"/>
      <c r="E10" s="568"/>
      <c r="F10" s="568"/>
      <c r="G10" s="569"/>
      <c r="H10" s="569"/>
      <c r="I10" s="500"/>
      <c r="J10" s="811"/>
      <c r="K10" s="812"/>
      <c r="L10" s="813"/>
      <c r="M10" s="814"/>
      <c r="N10" s="815"/>
      <c r="O10" s="816"/>
      <c r="P10" s="816"/>
      <c r="Q10" s="816"/>
      <c r="R10" s="816"/>
      <c r="S10" s="816"/>
      <c r="T10" s="816"/>
      <c r="U10" s="816"/>
      <c r="V10" s="816"/>
      <c r="W10" s="816"/>
      <c r="X10" s="816"/>
      <c r="Y10" s="816"/>
    </row>
    <row r="11" spans="1:25" s="817" customFormat="1" ht="15" customHeight="1">
      <c r="A11" s="810" t="s">
        <v>428</v>
      </c>
      <c r="B11" s="570"/>
      <c r="C11" s="568"/>
      <c r="D11" s="568"/>
      <c r="E11" s="568"/>
      <c r="F11" s="568"/>
      <c r="G11" s="569"/>
      <c r="H11" s="569"/>
      <c r="I11" s="500"/>
      <c r="J11" s="811"/>
      <c r="K11" s="812"/>
      <c r="L11" s="813"/>
      <c r="M11" s="814"/>
      <c r="N11" s="815"/>
      <c r="O11" s="816"/>
      <c r="P11" s="816"/>
      <c r="Q11" s="816"/>
      <c r="R11" s="816"/>
      <c r="S11" s="816"/>
      <c r="T11" s="816"/>
      <c r="U11" s="816"/>
      <c r="V11" s="816"/>
      <c r="W11" s="816"/>
      <c r="X11" s="816"/>
      <c r="Y11" s="816"/>
    </row>
    <row r="12" spans="1:25" s="817" customFormat="1" ht="15" customHeight="1">
      <c r="A12" s="810" t="s">
        <v>410</v>
      </c>
      <c r="B12" s="570"/>
      <c r="C12" s="568"/>
      <c r="D12" s="568"/>
      <c r="E12" s="568"/>
      <c r="F12" s="568"/>
      <c r="G12" s="569"/>
      <c r="H12" s="569"/>
      <c r="I12" s="500"/>
      <c r="J12" s="811"/>
      <c r="K12" s="812"/>
      <c r="L12" s="813"/>
      <c r="M12" s="814"/>
      <c r="N12" s="815"/>
      <c r="O12" s="816"/>
      <c r="P12" s="816"/>
      <c r="Q12" s="816"/>
      <c r="R12" s="816"/>
      <c r="S12" s="816"/>
      <c r="T12" s="816"/>
      <c r="U12" s="816"/>
      <c r="V12" s="816"/>
      <c r="W12" s="816"/>
      <c r="X12" s="816"/>
      <c r="Y12" s="816"/>
    </row>
    <row r="13" spans="1:25" s="817" customFormat="1" ht="15" customHeight="1">
      <c r="A13" s="810" t="s">
        <v>411</v>
      </c>
      <c r="B13" s="570"/>
      <c r="C13" s="568"/>
      <c r="D13" s="568"/>
      <c r="E13" s="568"/>
      <c r="F13" s="568"/>
      <c r="G13" s="569"/>
      <c r="H13" s="569"/>
      <c r="I13" s="500"/>
      <c r="J13" s="811"/>
      <c r="K13" s="812"/>
      <c r="L13" s="813"/>
      <c r="M13" s="814"/>
      <c r="N13" s="815"/>
      <c r="O13" s="816"/>
      <c r="P13" s="816"/>
      <c r="Q13" s="816"/>
      <c r="R13" s="816"/>
      <c r="S13" s="816"/>
      <c r="T13" s="816"/>
      <c r="U13" s="816"/>
      <c r="V13" s="816"/>
      <c r="W13" s="816"/>
      <c r="X13" s="816"/>
      <c r="Y13" s="816"/>
    </row>
    <row r="14" spans="1:25" s="817" customFormat="1" ht="15" customHeight="1">
      <c r="A14" s="810" t="s">
        <v>412</v>
      </c>
      <c r="B14" s="570"/>
      <c r="C14" s="568"/>
      <c r="D14" s="568"/>
      <c r="E14" s="568"/>
      <c r="F14" s="568"/>
      <c r="G14" s="569"/>
      <c r="H14" s="569"/>
      <c r="I14" s="500"/>
      <c r="J14" s="811"/>
      <c r="K14" s="812"/>
      <c r="L14" s="813"/>
      <c r="M14" s="814"/>
      <c r="N14" s="815"/>
      <c r="O14" s="816"/>
      <c r="P14" s="816"/>
      <c r="Q14" s="816"/>
      <c r="R14" s="816"/>
      <c r="S14" s="816"/>
      <c r="T14" s="816"/>
      <c r="U14" s="816"/>
      <c r="V14" s="816"/>
      <c r="W14" s="816"/>
      <c r="X14" s="816"/>
      <c r="Y14" s="816"/>
    </row>
    <row r="15" spans="1:25" s="817" customFormat="1" ht="15" customHeight="1">
      <c r="A15" s="571" t="s">
        <v>424</v>
      </c>
      <c r="B15" s="570"/>
      <c r="C15" s="568"/>
      <c r="D15" s="568"/>
      <c r="E15" s="568"/>
      <c r="F15" s="568"/>
      <c r="G15" s="569"/>
      <c r="H15" s="569"/>
      <c r="I15" s="500"/>
      <c r="J15" s="811"/>
      <c r="K15" s="812"/>
      <c r="L15" s="813"/>
      <c r="M15" s="814"/>
      <c r="N15" s="815"/>
      <c r="O15" s="816"/>
      <c r="P15" s="816"/>
      <c r="Q15" s="816"/>
      <c r="R15" s="816"/>
      <c r="S15" s="816"/>
      <c r="T15" s="816"/>
      <c r="U15" s="816"/>
      <c r="V15" s="816"/>
      <c r="W15" s="816"/>
      <c r="X15" s="816"/>
      <c r="Y15" s="816"/>
    </row>
    <row r="16" spans="1:25" s="817" customFormat="1" ht="15" customHeight="1">
      <c r="A16" s="810" t="s">
        <v>413</v>
      </c>
      <c r="B16" s="570"/>
      <c r="C16" s="568"/>
      <c r="D16" s="568"/>
      <c r="E16" s="568"/>
      <c r="F16" s="568"/>
      <c r="G16" s="569"/>
      <c r="H16" s="569"/>
      <c r="I16" s="500"/>
      <c r="J16" s="811"/>
      <c r="K16" s="812"/>
      <c r="L16" s="813"/>
      <c r="M16" s="814"/>
      <c r="N16" s="815"/>
      <c r="O16" s="816"/>
      <c r="P16" s="816"/>
      <c r="Q16" s="816"/>
      <c r="R16" s="816"/>
      <c r="S16" s="816"/>
      <c r="T16" s="816"/>
      <c r="U16" s="816"/>
      <c r="V16" s="816"/>
      <c r="W16" s="816"/>
      <c r="X16" s="816"/>
      <c r="Y16" s="816"/>
    </row>
    <row r="17" spans="1:25" s="817" customFormat="1" ht="15" customHeight="1">
      <c r="A17" s="818" t="s">
        <v>414</v>
      </c>
      <c r="B17" s="570"/>
      <c r="C17" s="568"/>
      <c r="D17" s="568"/>
      <c r="E17" s="568"/>
      <c r="F17" s="568"/>
      <c r="G17" s="569"/>
      <c r="H17" s="569"/>
      <c r="I17" s="500"/>
      <c r="J17" s="811"/>
      <c r="K17" s="812"/>
      <c r="L17" s="813"/>
      <c r="M17" s="814"/>
      <c r="N17" s="815"/>
      <c r="O17" s="816"/>
      <c r="P17" s="816"/>
      <c r="Q17" s="816"/>
      <c r="R17" s="816"/>
      <c r="S17" s="816"/>
      <c r="T17" s="816"/>
      <c r="U17" s="816"/>
      <c r="V17" s="816"/>
      <c r="W17" s="816"/>
      <c r="X17" s="816"/>
      <c r="Y17" s="816"/>
    </row>
    <row r="18" spans="1:25" s="817" customFormat="1" ht="15" customHeight="1">
      <c r="A18" s="818" t="s">
        <v>415</v>
      </c>
      <c r="B18" s="570"/>
      <c r="C18" s="568"/>
      <c r="D18" s="568"/>
      <c r="E18" s="568"/>
      <c r="F18" s="568"/>
      <c r="G18" s="569"/>
      <c r="H18" s="569"/>
      <c r="I18" s="500"/>
      <c r="J18" s="811"/>
      <c r="K18" s="812"/>
      <c r="L18" s="813"/>
      <c r="M18" s="819"/>
      <c r="N18" s="819"/>
      <c r="O18" s="816"/>
      <c r="P18" s="816"/>
      <c r="Q18" s="816"/>
      <c r="R18" s="816"/>
      <c r="S18" s="816"/>
      <c r="T18" s="816"/>
      <c r="U18" s="816"/>
      <c r="V18" s="816"/>
      <c r="W18" s="816"/>
      <c r="X18" s="816"/>
      <c r="Y18" s="816"/>
    </row>
    <row r="19" spans="1:25" s="817" customFormat="1" ht="15" customHeight="1">
      <c r="A19" s="818" t="s">
        <v>416</v>
      </c>
      <c r="B19" s="570"/>
      <c r="C19" s="568"/>
      <c r="D19" s="568"/>
      <c r="E19" s="568"/>
      <c r="F19" s="568"/>
      <c r="G19" s="569"/>
      <c r="H19" s="569"/>
      <c r="I19" s="500"/>
      <c r="J19" s="811"/>
      <c r="K19" s="812"/>
      <c r="L19" s="813"/>
      <c r="M19" s="819"/>
      <c r="N19" s="819"/>
      <c r="O19" s="816"/>
      <c r="P19" s="816"/>
      <c r="Q19" s="816"/>
      <c r="R19" s="816"/>
      <c r="S19" s="816"/>
      <c r="T19" s="816"/>
      <c r="U19" s="816"/>
      <c r="V19" s="816"/>
      <c r="W19" s="816"/>
      <c r="X19" s="816"/>
      <c r="Y19" s="816"/>
    </row>
    <row r="20" spans="1:25" s="817" customFormat="1" ht="15" customHeight="1">
      <c r="A20" s="818" t="s">
        <v>417</v>
      </c>
      <c r="B20" s="570"/>
      <c r="C20" s="568"/>
      <c r="D20" s="568"/>
      <c r="E20" s="568"/>
      <c r="F20" s="568"/>
      <c r="G20" s="569"/>
      <c r="H20" s="569"/>
      <c r="I20" s="500"/>
      <c r="J20" s="811"/>
      <c r="K20" s="812"/>
      <c r="L20" s="813"/>
      <c r="M20" s="819"/>
      <c r="N20" s="819"/>
      <c r="O20" s="816"/>
      <c r="P20" s="816"/>
      <c r="Q20" s="816"/>
      <c r="R20" s="816"/>
      <c r="S20" s="816"/>
      <c r="T20" s="816"/>
      <c r="U20" s="816"/>
      <c r="V20" s="816"/>
      <c r="W20" s="816"/>
      <c r="X20" s="816"/>
      <c r="Y20" s="816"/>
    </row>
    <row r="21" spans="1:25" s="817" customFormat="1" ht="15" customHeight="1">
      <c r="A21" s="818" t="s">
        <v>422</v>
      </c>
      <c r="B21" s="570"/>
      <c r="C21" s="568"/>
      <c r="D21" s="568"/>
      <c r="E21" s="568"/>
      <c r="F21" s="568"/>
      <c r="G21" s="569"/>
      <c r="H21" s="569"/>
      <c r="I21" s="500"/>
      <c r="J21" s="811"/>
      <c r="K21" s="812"/>
      <c r="L21" s="813"/>
      <c r="M21" s="819"/>
      <c r="N21" s="819"/>
      <c r="O21" s="816"/>
      <c r="P21" s="816"/>
      <c r="Q21" s="816"/>
      <c r="R21" s="816"/>
      <c r="S21" s="816"/>
      <c r="T21" s="816"/>
      <c r="U21" s="816"/>
      <c r="V21" s="816"/>
      <c r="W21" s="816"/>
      <c r="X21" s="816"/>
      <c r="Y21" s="816"/>
    </row>
    <row r="22" spans="1:25" s="817" customFormat="1" ht="15" customHeight="1">
      <c r="A22" s="818" t="s">
        <v>418</v>
      </c>
      <c r="B22" s="570"/>
      <c r="C22" s="568"/>
      <c r="D22" s="568"/>
      <c r="E22" s="568"/>
      <c r="F22" s="568"/>
      <c r="G22" s="569"/>
      <c r="H22" s="569"/>
      <c r="I22" s="500"/>
      <c r="J22" s="811"/>
      <c r="K22" s="812"/>
      <c r="L22" s="813"/>
      <c r="M22" s="819"/>
      <c r="N22" s="819"/>
      <c r="O22" s="816"/>
      <c r="P22" s="816"/>
      <c r="Q22" s="816"/>
      <c r="R22" s="816"/>
      <c r="S22" s="816"/>
      <c r="T22" s="816"/>
      <c r="U22" s="816"/>
      <c r="V22" s="816"/>
      <c r="W22" s="816"/>
      <c r="X22" s="816"/>
      <c r="Y22" s="816"/>
    </row>
    <row r="23" spans="1:25" s="817" customFormat="1" ht="15" customHeight="1">
      <c r="A23" s="922" t="s">
        <v>419</v>
      </c>
      <c r="B23" s="922"/>
      <c r="C23" s="923"/>
      <c r="D23" s="923"/>
      <c r="E23" s="923"/>
      <c r="F23" s="924"/>
      <c r="G23" s="924"/>
      <c r="H23" s="924"/>
      <c r="I23" s="501"/>
      <c r="J23" s="820"/>
      <c r="K23" s="812"/>
      <c r="L23" s="813"/>
      <c r="M23" s="814"/>
      <c r="N23" s="815"/>
      <c r="O23" s="816"/>
      <c r="P23" s="816"/>
      <c r="Q23" s="816"/>
      <c r="R23" s="816"/>
      <c r="S23" s="816"/>
      <c r="T23" s="816"/>
      <c r="U23" s="816"/>
      <c r="V23" s="816"/>
      <c r="W23" s="816"/>
      <c r="X23" s="816"/>
      <c r="Y23" s="816"/>
    </row>
    <row r="24" spans="1:14" ht="15" customHeight="1">
      <c r="A24" s="498"/>
      <c r="B24" s="498"/>
      <c r="C24" s="498"/>
      <c r="D24" s="498"/>
      <c r="E24" s="498"/>
      <c r="F24" s="498"/>
      <c r="G24" s="499"/>
      <c r="H24" s="499"/>
      <c r="I24" s="500"/>
      <c r="J24" s="491"/>
      <c r="K24" s="548"/>
      <c r="L24" s="558"/>
      <c r="M24" s="18"/>
      <c r="N24" s="226"/>
    </row>
    <row r="25" spans="1:14" ht="24" customHeight="1">
      <c r="A25" s="925" t="s">
        <v>436</v>
      </c>
      <c r="B25" s="925"/>
      <c r="C25" s="925"/>
      <c r="D25" s="925"/>
      <c r="E25" s="925"/>
      <c r="F25" s="925"/>
      <c r="G25" s="546"/>
      <c r="H25" s="546"/>
      <c r="I25" s="546"/>
      <c r="J25" s="547"/>
      <c r="K25" s="548"/>
      <c r="L25" s="558"/>
      <c r="M25" s="931"/>
      <c r="N25" s="931"/>
    </row>
    <row r="26" spans="1:14" ht="15">
      <c r="A26" s="578"/>
      <c r="B26" s="578"/>
      <c r="C26" s="579"/>
      <c r="D26" s="579"/>
      <c r="E26" s="579"/>
      <c r="F26" s="579"/>
      <c r="G26" s="579"/>
      <c r="H26" s="579"/>
      <c r="I26" s="579"/>
      <c r="J26" s="579"/>
      <c r="K26" s="579"/>
      <c r="L26" s="580"/>
      <c r="M26" s="845"/>
      <c r="N26" s="845"/>
    </row>
    <row r="27" spans="1:14" ht="25.5" customHeight="1">
      <c r="A27" s="1089" t="s">
        <v>72</v>
      </c>
      <c r="B27" s="1090"/>
      <c r="C27" s="1090"/>
      <c r="D27" s="1090"/>
      <c r="E27" s="1090"/>
      <c r="F27" s="1090"/>
      <c r="G27" s="1090"/>
      <c r="H27" s="1090"/>
      <c r="I27" s="1090"/>
      <c r="J27" s="1090"/>
      <c r="K27" s="520"/>
      <c r="L27" s="520"/>
      <c r="M27" s="845"/>
      <c r="N27" s="845"/>
    </row>
    <row r="28" spans="1:14" ht="15">
      <c r="A28" s="987" t="s">
        <v>73</v>
      </c>
      <c r="B28" s="987"/>
      <c r="C28" s="987"/>
      <c r="D28" s="987"/>
      <c r="E28" s="987"/>
      <c r="F28" s="987"/>
      <c r="G28" s="987"/>
      <c r="H28" s="987"/>
      <c r="I28" s="987"/>
      <c r="J28" s="987"/>
      <c r="K28" s="502"/>
      <c r="L28" s="502"/>
      <c r="M28" s="845"/>
      <c r="N28" s="845"/>
    </row>
    <row r="29" spans="1:14" ht="15.75" thickBot="1">
      <c r="A29" s="21" t="s">
        <v>605</v>
      </c>
      <c r="B29" s="21"/>
      <c r="C29" s="21"/>
      <c r="D29" s="21"/>
      <c r="E29" s="21"/>
      <c r="F29" s="21"/>
      <c r="G29" s="21"/>
      <c r="H29" s="21"/>
      <c r="I29" s="1062"/>
      <c r="J29" s="1062"/>
      <c r="K29" s="502"/>
      <c r="L29" s="502"/>
      <c r="M29" s="845"/>
      <c r="N29" s="845"/>
    </row>
    <row r="30" spans="1:14" ht="21" customHeight="1" thickTop="1">
      <c r="A30" s="10" t="s">
        <v>74</v>
      </c>
      <c r="B30" s="11"/>
      <c r="C30" s="420" t="s">
        <v>978</v>
      </c>
      <c r="D30" s="421"/>
      <c r="E30" s="422" t="s">
        <v>975</v>
      </c>
      <c r="F30" s="423"/>
      <c r="G30" s="422" t="s">
        <v>953</v>
      </c>
      <c r="H30" s="423"/>
      <c r="I30" s="422" t="s">
        <v>976</v>
      </c>
      <c r="J30" s="423"/>
      <c r="K30" s="422" t="s">
        <v>977</v>
      </c>
      <c r="L30" s="599"/>
      <c r="M30" s="4"/>
      <c r="N30" s="3"/>
    </row>
    <row r="31" spans="1:14" ht="15">
      <c r="A31" s="307" t="s">
        <v>453</v>
      </c>
      <c r="B31" s="308" t="s">
        <v>75</v>
      </c>
      <c r="C31" s="840">
        <f>CEILING(130*$Z$1,0.1)</f>
        <v>169</v>
      </c>
      <c r="D31" s="844"/>
      <c r="E31" s="840">
        <f>CEILING(215*$Z$1,0.1)</f>
        <v>279.5</v>
      </c>
      <c r="F31" s="844"/>
      <c r="G31" s="840">
        <f>CEILING(150*$Z$1,0.1)</f>
        <v>195</v>
      </c>
      <c r="H31" s="844"/>
      <c r="I31" s="840">
        <f>CEILING(170*$Z$1,0.1)</f>
        <v>221</v>
      </c>
      <c r="J31" s="844"/>
      <c r="K31" s="840">
        <f>CEILING(150*$Z$1,0.1)</f>
        <v>195</v>
      </c>
      <c r="L31" s="844"/>
      <c r="M31" s="842"/>
      <c r="N31" s="845"/>
    </row>
    <row r="32" spans="1:14" ht="15" customHeight="1">
      <c r="A32" s="309" t="s">
        <v>76</v>
      </c>
      <c r="B32" s="206" t="s">
        <v>77</v>
      </c>
      <c r="C32" s="840">
        <f>_xlfn.CEILING.MATH((C31+75*$Z$1),0.1)</f>
        <v>266.5</v>
      </c>
      <c r="D32" s="841"/>
      <c r="E32" s="840">
        <f>_xlfn.CEILING.MATH((E31+75*$Z$1),0.1)</f>
        <v>377</v>
      </c>
      <c r="F32" s="841"/>
      <c r="G32" s="840">
        <f>_xlfn.CEILING.MATH((G31+75*$Z$1),0.1)</f>
        <v>292.5</v>
      </c>
      <c r="H32" s="841"/>
      <c r="I32" s="840">
        <f>_xlfn.CEILING.MATH((I31+75*$Z$1),0.1)</f>
        <v>318.5</v>
      </c>
      <c r="J32" s="841"/>
      <c r="K32" s="840">
        <f>_xlfn.CEILING.MATH((K31+75*$Z$1),0.1)</f>
        <v>292.5</v>
      </c>
      <c r="L32" s="841"/>
      <c r="M32" s="23"/>
      <c r="N32" s="22"/>
    </row>
    <row r="33" spans="1:14" ht="15" customHeight="1">
      <c r="A33" s="309"/>
      <c r="B33" s="206" t="s">
        <v>78</v>
      </c>
      <c r="C33" s="840">
        <f>CEILING((C31*0.85),0.1)</f>
        <v>143.70000000000002</v>
      </c>
      <c r="D33" s="841"/>
      <c r="E33" s="840">
        <f>CEILING((E31*0.85),0.1)</f>
        <v>237.60000000000002</v>
      </c>
      <c r="F33" s="841"/>
      <c r="G33" s="840">
        <f>CEILING((G31*0.85),0.1)</f>
        <v>165.8</v>
      </c>
      <c r="H33" s="841"/>
      <c r="I33" s="840">
        <f>CEILING((I31*0.85),0.1)</f>
        <v>187.9</v>
      </c>
      <c r="J33" s="841"/>
      <c r="K33" s="840">
        <f>CEILING((K31*0.85),0.1)</f>
        <v>165.8</v>
      </c>
      <c r="L33" s="841"/>
      <c r="M33" s="23"/>
      <c r="N33" s="22"/>
    </row>
    <row r="34" spans="1:14" ht="15" customHeight="1">
      <c r="A34" s="310"/>
      <c r="B34" s="205" t="s">
        <v>115</v>
      </c>
      <c r="C34" s="840">
        <f>CEILING((C31*0.5),0.1)</f>
        <v>84.5</v>
      </c>
      <c r="D34" s="841"/>
      <c r="E34" s="840">
        <f>CEILING((E31*0.5),0.1)</f>
        <v>139.8</v>
      </c>
      <c r="F34" s="841"/>
      <c r="G34" s="840">
        <f>CEILING((G31*0.5),0.1)</f>
        <v>97.5</v>
      </c>
      <c r="H34" s="841"/>
      <c r="I34" s="840">
        <f>CEILING((I31*0.5),0.1)</f>
        <v>110.5</v>
      </c>
      <c r="J34" s="841"/>
      <c r="K34" s="840">
        <f>CEILING((K31*0.5),0.1)</f>
        <v>97.5</v>
      </c>
      <c r="L34" s="841"/>
      <c r="M34" s="23"/>
      <c r="N34" s="22"/>
    </row>
    <row r="35" spans="1:14" ht="17.25" customHeight="1">
      <c r="A35" s="243"/>
      <c r="B35" s="206" t="s">
        <v>80</v>
      </c>
      <c r="C35" s="840">
        <f>_xlfn.CEILING.MATH((C31+50*$Z$1),0.1)</f>
        <v>234</v>
      </c>
      <c r="D35" s="841"/>
      <c r="E35" s="840">
        <f>_xlfn.CEILING.MATH((E31+50*$Z$1),0.1)</f>
        <v>344.5</v>
      </c>
      <c r="F35" s="841"/>
      <c r="G35" s="840">
        <f>_xlfn.CEILING.MATH((G31+50*$Z$1),0.1)</f>
        <v>260</v>
      </c>
      <c r="H35" s="841"/>
      <c r="I35" s="840">
        <f>_xlfn.CEILING.MATH((I31+50*$Z$1),0.1)</f>
        <v>286</v>
      </c>
      <c r="J35" s="841"/>
      <c r="K35" s="840">
        <f>_xlfn.CEILING.MATH((K31+50*$Z$1),0.1)</f>
        <v>260</v>
      </c>
      <c r="L35" s="841"/>
      <c r="M35" s="23"/>
      <c r="N35" s="22"/>
    </row>
    <row r="36" spans="1:14" ht="15.75" customHeight="1">
      <c r="A36" s="311"/>
      <c r="B36" s="206" t="s">
        <v>275</v>
      </c>
      <c r="C36" s="840">
        <f>_xlfn.CEILING.MATH((C35+75*$Z$1),0.1)</f>
        <v>331.5</v>
      </c>
      <c r="D36" s="841"/>
      <c r="E36" s="840">
        <f>_xlfn.CEILING.MATH((E35+75*$Z$1),0.1)</f>
        <v>442</v>
      </c>
      <c r="F36" s="841"/>
      <c r="G36" s="840">
        <f>_xlfn.CEILING.MATH((G35+75*$Z$1),0.1)</f>
        <v>357.5</v>
      </c>
      <c r="H36" s="841"/>
      <c r="I36" s="840">
        <f>_xlfn.CEILING.MATH((I35+75*$Z$1),0.1)</f>
        <v>383.5</v>
      </c>
      <c r="J36" s="841"/>
      <c r="K36" s="840">
        <f>_xlfn.CEILING.MATH((K35+75*$Z$1),0.1)</f>
        <v>357.5</v>
      </c>
      <c r="L36" s="841"/>
      <c r="M36" s="23"/>
      <c r="N36" s="22"/>
    </row>
    <row r="37" spans="1:25" s="724" customFormat="1" ht="15.75" customHeight="1">
      <c r="A37" s="311"/>
      <c r="B37" s="756" t="s">
        <v>629</v>
      </c>
      <c r="C37" s="835">
        <f>CEILING(550*$Z$1,0.1)</f>
        <v>715</v>
      </c>
      <c r="D37" s="836"/>
      <c r="E37" s="835">
        <f>CEILING(905*$Z$1,0.1)</f>
        <v>1176.5</v>
      </c>
      <c r="F37" s="836"/>
      <c r="G37" s="835">
        <f>CEILING(880*$Z$1,0.1)</f>
        <v>1144</v>
      </c>
      <c r="H37" s="836"/>
      <c r="I37" s="835">
        <f>CEILING(880*$Z$1,0.1)</f>
        <v>1144</v>
      </c>
      <c r="J37" s="836"/>
      <c r="K37" s="835">
        <f>CEILING(880*$Z$1,0.1)</f>
        <v>1144</v>
      </c>
      <c r="L37" s="836"/>
      <c r="M37" s="23"/>
      <c r="N37" s="22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</row>
    <row r="38" spans="1:14" ht="15.75" customHeight="1">
      <c r="A38" s="411"/>
      <c r="B38" s="206" t="s">
        <v>451</v>
      </c>
      <c r="C38" s="840">
        <f>_xlfn.CEILING.MATH((C31+50*$Z$1),0.1)</f>
        <v>234</v>
      </c>
      <c r="D38" s="841"/>
      <c r="E38" s="840">
        <f>_xlfn.CEILING.MATH((E31+50*$Z$1),0.1)</f>
        <v>344.5</v>
      </c>
      <c r="F38" s="841"/>
      <c r="G38" s="840">
        <f>_xlfn.CEILING.MATH((G31+50*$Z$1),0.1)</f>
        <v>260</v>
      </c>
      <c r="H38" s="841"/>
      <c r="I38" s="840">
        <f>_xlfn.CEILING.MATH((I31+50*$Z$1),0.1)</f>
        <v>286</v>
      </c>
      <c r="J38" s="841"/>
      <c r="K38" s="840">
        <f>_xlfn.CEILING.MATH((K31+50*$Z$1),0.1)</f>
        <v>260</v>
      </c>
      <c r="L38" s="841"/>
      <c r="M38" s="23"/>
      <c r="N38" s="22"/>
    </row>
    <row r="39" spans="1:14" ht="16.5" customHeight="1">
      <c r="A39" s="307"/>
      <c r="B39" s="206" t="s">
        <v>452</v>
      </c>
      <c r="C39" s="840">
        <f>_xlfn.CEILING.MATH((C38+85*$Z$1),0.1)</f>
        <v>344.5</v>
      </c>
      <c r="D39" s="841"/>
      <c r="E39" s="840">
        <f>_xlfn.CEILING.MATH((E38+85*$Z$1),0.1)</f>
        <v>455</v>
      </c>
      <c r="F39" s="841"/>
      <c r="G39" s="840">
        <f>_xlfn.CEILING.MATH((G38+85*$Z$1),0.1)</f>
        <v>370.5</v>
      </c>
      <c r="H39" s="841"/>
      <c r="I39" s="840">
        <f>_xlfn.CEILING.MATH((I38+85*$Z$1),0.1)</f>
        <v>396.5</v>
      </c>
      <c r="J39" s="841"/>
      <c r="K39" s="840">
        <f>_xlfn.CEILING.MATH((K38+85*$Z$1),0.1)</f>
        <v>370.5</v>
      </c>
      <c r="L39" s="841"/>
      <c r="M39" s="23"/>
      <c r="N39" s="22"/>
    </row>
    <row r="40" spans="1:14" ht="16.5" customHeight="1">
      <c r="A40" s="307"/>
      <c r="B40" s="206" t="s">
        <v>626</v>
      </c>
      <c r="C40" s="840">
        <f>_xlfn.CEILING.MATH((C31+90*$Z$1),0.1)</f>
        <v>286</v>
      </c>
      <c r="D40" s="841"/>
      <c r="E40" s="840">
        <f>_xlfn.CEILING.MATH((E31+90*$Z$1),0.1)</f>
        <v>396.5</v>
      </c>
      <c r="F40" s="841"/>
      <c r="G40" s="840">
        <f>_xlfn.CEILING.MATH((G31+90*$Z$1),0.1)</f>
        <v>312</v>
      </c>
      <c r="H40" s="841"/>
      <c r="I40" s="840">
        <f>_xlfn.CEILING.MATH((I31+90*$Z$1),0.1)</f>
        <v>338</v>
      </c>
      <c r="J40" s="841"/>
      <c r="K40" s="840">
        <f>_xlfn.CEILING.MATH((K31+90*$Z$1),0.1)</f>
        <v>312</v>
      </c>
      <c r="L40" s="841"/>
      <c r="M40" s="23"/>
      <c r="N40" s="22"/>
    </row>
    <row r="41" spans="1:14" ht="15.75" customHeight="1">
      <c r="A41" s="307"/>
      <c r="B41" s="206" t="s">
        <v>627</v>
      </c>
      <c r="C41" s="840">
        <f>_xlfn.CEILING.MATH((C40+85*$Z$1),0.1)</f>
        <v>396.5</v>
      </c>
      <c r="D41" s="841"/>
      <c r="E41" s="840">
        <f>_xlfn.CEILING.MATH((E40+85*$Z$1),0.1)</f>
        <v>507</v>
      </c>
      <c r="F41" s="841"/>
      <c r="G41" s="840">
        <f>_xlfn.CEILING.MATH((G40+85*$Z$1),0.1)</f>
        <v>422.5</v>
      </c>
      <c r="H41" s="841"/>
      <c r="I41" s="840">
        <f>_xlfn.CEILING.MATH((I40+85*$Z$1),0.1)</f>
        <v>448.5</v>
      </c>
      <c r="J41" s="841"/>
      <c r="K41" s="840">
        <f>_xlfn.CEILING.MATH((K40+85*$Z$1),0.1)</f>
        <v>422.5</v>
      </c>
      <c r="L41" s="841"/>
      <c r="M41" s="23"/>
      <c r="N41" s="22"/>
    </row>
    <row r="42" spans="1:14" ht="16.5" customHeight="1">
      <c r="A42" s="307"/>
      <c r="B42" s="206" t="s">
        <v>456</v>
      </c>
      <c r="C42" s="840">
        <f>_xlfn.CEILING.MATH((C31+125*$Z$1),0.1)</f>
        <v>331.5</v>
      </c>
      <c r="D42" s="841"/>
      <c r="E42" s="840">
        <f>_xlfn.CEILING.MATH((E31+125*$Z$1),0.1)</f>
        <v>442</v>
      </c>
      <c r="F42" s="841"/>
      <c r="G42" s="840">
        <f>_xlfn.CEILING.MATH((G31+125*$Z$1),0.1)</f>
        <v>357.5</v>
      </c>
      <c r="H42" s="841"/>
      <c r="I42" s="840">
        <f>_xlfn.CEILING.MATH((I31+125*$Z$1),0.1)</f>
        <v>383.5</v>
      </c>
      <c r="J42" s="841"/>
      <c r="K42" s="840">
        <f>_xlfn.CEILING.MATH((K31+125*$Z$1),0.1)</f>
        <v>357.5</v>
      </c>
      <c r="L42" s="841"/>
      <c r="M42" s="23"/>
      <c r="N42" s="22"/>
    </row>
    <row r="43" spans="1:25" s="724" customFormat="1" ht="16.5" customHeight="1">
      <c r="A43" s="307"/>
      <c r="B43" s="756" t="s">
        <v>628</v>
      </c>
      <c r="C43" s="835">
        <f>CEILING(910*$Z$1,0.1)</f>
        <v>1183</v>
      </c>
      <c r="D43" s="836"/>
      <c r="E43" s="835">
        <f>CEILING(1000*$Z$1,0.1)</f>
        <v>1300</v>
      </c>
      <c r="F43" s="836"/>
      <c r="G43" s="835">
        <f>CEILING(1000*$Z$1,0.1)</f>
        <v>1300</v>
      </c>
      <c r="H43" s="836"/>
      <c r="I43" s="835">
        <f>CEILING(1000*$Z$1,0.1)</f>
        <v>1300</v>
      </c>
      <c r="J43" s="836"/>
      <c r="K43" s="835">
        <f>CEILING(975*$Z$1,0.1)</f>
        <v>1267.5</v>
      </c>
      <c r="L43" s="836"/>
      <c r="M43" s="23"/>
      <c r="N43" s="22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</row>
    <row r="44" spans="1:14" ht="17.25" customHeight="1">
      <c r="A44" s="307"/>
      <c r="B44" s="206" t="s">
        <v>374</v>
      </c>
      <c r="C44" s="840">
        <f>_xlfn.CEILING.MATH((C31+60*$Z$1),0.1)</f>
        <v>247</v>
      </c>
      <c r="D44" s="841"/>
      <c r="E44" s="840">
        <f>_xlfn.CEILING.MATH((E31+60*$Z$1),0.1)</f>
        <v>357.5</v>
      </c>
      <c r="F44" s="841"/>
      <c r="G44" s="840">
        <f>_xlfn.CEILING.MATH((G31+60*$Z$1),0.1)</f>
        <v>273</v>
      </c>
      <c r="H44" s="841"/>
      <c r="I44" s="840">
        <f>_xlfn.CEILING.MATH((I31+60*$Z$1),0.1)</f>
        <v>299</v>
      </c>
      <c r="J44" s="841"/>
      <c r="K44" s="840">
        <f>_xlfn.CEILING.MATH((K31+60*$Z$1),0.1)</f>
        <v>273</v>
      </c>
      <c r="L44" s="841"/>
      <c r="M44" s="23"/>
      <c r="N44" s="22"/>
    </row>
    <row r="45" spans="1:14" ht="16.5" customHeight="1">
      <c r="A45" s="307"/>
      <c r="B45" s="206" t="s">
        <v>375</v>
      </c>
      <c r="C45" s="840">
        <f>_xlfn.CEILING.MATH((C44+85*$Z$1),0.1)</f>
        <v>357.5</v>
      </c>
      <c r="D45" s="841"/>
      <c r="E45" s="840">
        <f>_xlfn.CEILING.MATH((E44+85*$Z$1),0.1)</f>
        <v>468</v>
      </c>
      <c r="F45" s="841"/>
      <c r="G45" s="840">
        <f>_xlfn.CEILING.MATH((G44+85*$Z$1),0.1)</f>
        <v>383.5</v>
      </c>
      <c r="H45" s="841"/>
      <c r="I45" s="840">
        <f>_xlfn.CEILING.MATH((I44+85*$Z$1),0.1)</f>
        <v>409.5</v>
      </c>
      <c r="J45" s="841"/>
      <c r="K45" s="840">
        <f>_xlfn.CEILING.MATH((K44+85*$Z$1),0.1)</f>
        <v>383.5</v>
      </c>
      <c r="L45" s="841"/>
      <c r="M45" s="23"/>
      <c r="N45" s="22"/>
    </row>
    <row r="46" spans="1:14" ht="16.5" customHeight="1">
      <c r="A46" s="307"/>
      <c r="B46" s="206" t="s">
        <v>376</v>
      </c>
      <c r="C46" s="840">
        <f>_xlfn.CEILING.MATH((C31+100*$Z$1),0.1)</f>
        <v>299</v>
      </c>
      <c r="D46" s="841"/>
      <c r="E46" s="840">
        <f>_xlfn.CEILING.MATH((E31+100*$Z$1),0.1)</f>
        <v>409.5</v>
      </c>
      <c r="F46" s="841"/>
      <c r="G46" s="840">
        <f>_xlfn.CEILING.MATH((G31+100*$Z$1),0.1)</f>
        <v>325</v>
      </c>
      <c r="H46" s="841"/>
      <c r="I46" s="840">
        <f>_xlfn.CEILING.MATH((I31+100*$Z$1),0.1)</f>
        <v>351</v>
      </c>
      <c r="J46" s="841"/>
      <c r="K46" s="840">
        <f>_xlfn.CEILING.MATH((K31+100*$Z$1),0.1)</f>
        <v>325</v>
      </c>
      <c r="L46" s="841"/>
      <c r="M46" s="23"/>
      <c r="N46" s="22"/>
    </row>
    <row r="47" spans="1:14" ht="16.5" customHeight="1">
      <c r="A47" s="410"/>
      <c r="B47" s="206" t="s">
        <v>377</v>
      </c>
      <c r="C47" s="840">
        <f>_xlfn.CEILING.MATH((C46+85*$Z$1),0.1)</f>
        <v>409.5</v>
      </c>
      <c r="D47" s="841"/>
      <c r="E47" s="840">
        <f>_xlfn.CEILING.MATH((E46+85*$Z$1),0.1)</f>
        <v>520</v>
      </c>
      <c r="F47" s="841"/>
      <c r="G47" s="840">
        <f>_xlfn.CEILING.MATH((G46+85*$Z$1),0.1)</f>
        <v>435.5</v>
      </c>
      <c r="H47" s="841"/>
      <c r="I47" s="840">
        <f>_xlfn.CEILING.MATH((I46+85*$Z$1),0.1)</f>
        <v>461.5</v>
      </c>
      <c r="J47" s="841"/>
      <c r="K47" s="840">
        <f>_xlfn.CEILING.MATH((K46+85*$Z$1),0.1)</f>
        <v>435.5</v>
      </c>
      <c r="L47" s="841"/>
      <c r="M47" s="23"/>
      <c r="N47" s="22"/>
    </row>
    <row r="48" spans="1:25" s="724" customFormat="1" ht="16.5" customHeight="1">
      <c r="A48" s="410"/>
      <c r="B48" s="756" t="s">
        <v>630</v>
      </c>
      <c r="C48" s="835">
        <f>CEILING(1275*$Z$1,0.1)</f>
        <v>1657.5</v>
      </c>
      <c r="D48" s="836"/>
      <c r="E48" s="835">
        <f>CEILING(1275*$Z$1,0.1)</f>
        <v>1657.5</v>
      </c>
      <c r="F48" s="836"/>
      <c r="G48" s="835">
        <f>CEILING(1275*$Z$1,0.1)</f>
        <v>1657.5</v>
      </c>
      <c r="H48" s="836"/>
      <c r="I48" s="835">
        <f>CEILING(1275*$Z$1,0.1)</f>
        <v>1657.5</v>
      </c>
      <c r="J48" s="836"/>
      <c r="K48" s="835">
        <f>CEILING(1275*$Z$1,0.1)</f>
        <v>1657.5</v>
      </c>
      <c r="L48" s="836"/>
      <c r="M48" s="23"/>
      <c r="N48" s="22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</row>
    <row r="49" spans="1:25" s="724" customFormat="1" ht="16.5" customHeight="1">
      <c r="A49" s="410"/>
      <c r="B49" s="42" t="s">
        <v>631</v>
      </c>
      <c r="C49" s="872">
        <v>0.2</v>
      </c>
      <c r="D49" s="873"/>
      <c r="E49" s="872">
        <v>0.1</v>
      </c>
      <c r="F49" s="873"/>
      <c r="G49" s="872">
        <v>0.15</v>
      </c>
      <c r="H49" s="873"/>
      <c r="I49" s="872">
        <v>0.15</v>
      </c>
      <c r="J49" s="873"/>
      <c r="K49" s="872">
        <v>0.2</v>
      </c>
      <c r="L49" s="873"/>
      <c r="M49" s="23"/>
      <c r="N49" s="22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</row>
    <row r="50" spans="1:25" s="724" customFormat="1" ht="16.5" customHeight="1">
      <c r="A50" s="410"/>
      <c r="B50" s="42" t="s">
        <v>632</v>
      </c>
      <c r="C50" s="872">
        <v>0.2</v>
      </c>
      <c r="D50" s="873"/>
      <c r="E50" s="872">
        <v>0.15</v>
      </c>
      <c r="F50" s="873"/>
      <c r="G50" s="872">
        <v>0.2</v>
      </c>
      <c r="H50" s="873"/>
      <c r="I50" s="872">
        <v>0.2</v>
      </c>
      <c r="J50" s="873"/>
      <c r="K50" s="872">
        <v>0.25</v>
      </c>
      <c r="L50" s="873"/>
      <c r="M50" s="23"/>
      <c r="N50" s="22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</row>
    <row r="51" spans="1:14" ht="18" customHeight="1" thickBot="1">
      <c r="A51" s="391" t="s">
        <v>906</v>
      </c>
      <c r="B51" s="43" t="s">
        <v>633</v>
      </c>
      <c r="C51" s="874">
        <v>0.2</v>
      </c>
      <c r="D51" s="875"/>
      <c r="E51" s="874">
        <v>0.15</v>
      </c>
      <c r="F51" s="875"/>
      <c r="G51" s="874">
        <v>0.2</v>
      </c>
      <c r="H51" s="875"/>
      <c r="I51" s="874">
        <v>0.2</v>
      </c>
      <c r="J51" s="875"/>
      <c r="K51" s="874">
        <v>0.25</v>
      </c>
      <c r="L51" s="875"/>
      <c r="M51" s="23"/>
      <c r="N51" s="22"/>
    </row>
    <row r="52" spans="1:14" ht="15.75" thickTop="1">
      <c r="A52" s="209" t="s">
        <v>638</v>
      </c>
      <c r="B52" s="209"/>
      <c r="C52" s="24"/>
      <c r="D52" s="24"/>
      <c r="E52" s="24"/>
      <c r="F52" s="24"/>
      <c r="G52" s="24"/>
      <c r="H52" s="24"/>
      <c r="I52" s="25"/>
      <c r="J52" s="25"/>
      <c r="K52" s="128"/>
      <c r="L52" s="128"/>
      <c r="M52" s="22"/>
      <c r="N52" s="22"/>
    </row>
    <row r="53" spans="1:25" s="724" customFormat="1" ht="15">
      <c r="A53" s="209" t="s">
        <v>639</v>
      </c>
      <c r="B53" s="209"/>
      <c r="C53" s="24"/>
      <c r="D53" s="24"/>
      <c r="E53" s="24"/>
      <c r="F53" s="24"/>
      <c r="G53" s="24"/>
      <c r="H53" s="24"/>
      <c r="I53" s="25"/>
      <c r="J53" s="25"/>
      <c r="K53" s="128"/>
      <c r="L53" s="128"/>
      <c r="M53" s="22"/>
      <c r="N53" s="22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</row>
    <row r="54" spans="1:25" s="724" customFormat="1" ht="15">
      <c r="A54" s="209" t="s">
        <v>637</v>
      </c>
      <c r="B54" s="209"/>
      <c r="C54" s="24"/>
      <c r="D54" s="24"/>
      <c r="E54" s="24"/>
      <c r="F54" s="24"/>
      <c r="G54" s="24"/>
      <c r="H54" s="24"/>
      <c r="I54" s="25"/>
      <c r="J54" s="25"/>
      <c r="K54" s="128"/>
      <c r="L54" s="128"/>
      <c r="M54" s="22"/>
      <c r="N54" s="22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</row>
    <row r="55" spans="1:25" s="724" customFormat="1" ht="15">
      <c r="A55" s="248" t="s">
        <v>634</v>
      </c>
      <c r="B55" s="209"/>
      <c r="C55" s="24"/>
      <c r="D55" s="24"/>
      <c r="E55" s="24"/>
      <c r="F55" s="24"/>
      <c r="G55" s="24"/>
      <c r="H55" s="24"/>
      <c r="I55" s="25"/>
      <c r="J55" s="25"/>
      <c r="K55" s="128"/>
      <c r="L55" s="128"/>
      <c r="M55" s="22"/>
      <c r="N55" s="22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</row>
    <row r="56" spans="1:14" ht="16.5" customHeight="1">
      <c r="A56" s="248" t="s">
        <v>635</v>
      </c>
      <c r="B56" s="209"/>
      <c r="C56" s="24"/>
      <c r="D56" s="24"/>
      <c r="E56" s="24"/>
      <c r="F56" s="24"/>
      <c r="G56" s="24"/>
      <c r="H56" s="24"/>
      <c r="I56" s="25"/>
      <c r="J56" s="25"/>
      <c r="K56" s="128"/>
      <c r="L56" s="128"/>
      <c r="M56" s="22"/>
      <c r="N56" s="22"/>
    </row>
    <row r="57" spans="1:14" ht="17.25" customHeight="1">
      <c r="A57" s="248" t="s">
        <v>636</v>
      </c>
      <c r="B57" s="248"/>
      <c r="C57" s="248"/>
      <c r="D57" s="248"/>
      <c r="E57" s="248"/>
      <c r="F57" s="248"/>
      <c r="G57" s="24"/>
      <c r="H57" s="24"/>
      <c r="I57" s="25"/>
      <c r="J57" s="25"/>
      <c r="K57" s="128"/>
      <c r="L57" s="128"/>
      <c r="M57" s="22"/>
      <c r="N57" s="22"/>
    </row>
    <row r="58" spans="1:14" ht="15.75" thickBot="1">
      <c r="A58" s="27"/>
      <c r="B58" s="28"/>
      <c r="C58" s="28"/>
      <c r="D58" s="28"/>
      <c r="E58" s="28"/>
      <c r="F58" s="28"/>
      <c r="G58" s="28"/>
      <c r="H58" s="28"/>
      <c r="I58" s="1061"/>
      <c r="J58" s="1061"/>
      <c r="K58" s="128"/>
      <c r="L58" s="128"/>
      <c r="M58" s="22"/>
      <c r="N58" s="22"/>
    </row>
    <row r="59" spans="1:14" ht="21.75" customHeight="1" thickTop="1">
      <c r="A59" s="10" t="s">
        <v>74</v>
      </c>
      <c r="B59" s="11"/>
      <c r="C59" s="420" t="s">
        <v>954</v>
      </c>
      <c r="D59" s="421"/>
      <c r="E59" s="422" t="s">
        <v>975</v>
      </c>
      <c r="F59" s="423"/>
      <c r="G59" s="422" t="s">
        <v>979</v>
      </c>
      <c r="H59" s="423"/>
      <c r="I59" s="422" t="s">
        <v>976</v>
      </c>
      <c r="J59" s="423"/>
      <c r="K59" s="422" t="s">
        <v>977</v>
      </c>
      <c r="L59" s="599"/>
      <c r="M59" s="722"/>
      <c r="N59" s="22"/>
    </row>
    <row r="60" spans="1:14" ht="15">
      <c r="A60" s="312" t="s">
        <v>79</v>
      </c>
      <c r="B60" s="31" t="s">
        <v>643</v>
      </c>
      <c r="C60" s="840">
        <f>CEILING(130*$Z$1,0.1)</f>
        <v>169</v>
      </c>
      <c r="D60" s="844"/>
      <c r="E60" s="840">
        <f>CEILING(200*$Z$1,0.1)</f>
        <v>260</v>
      </c>
      <c r="F60" s="844"/>
      <c r="G60" s="840">
        <f>CEILING(145*$Z$1,0.1)</f>
        <v>188.5</v>
      </c>
      <c r="H60" s="844"/>
      <c r="I60" s="840">
        <f>CEILING(155*$Z$1,0.1)</f>
        <v>201.5</v>
      </c>
      <c r="J60" s="844"/>
      <c r="K60" s="840">
        <f>CEILING(130*$Z$1,0.1)</f>
        <v>169</v>
      </c>
      <c r="L60" s="844"/>
      <c r="M60" s="722"/>
      <c r="N60" s="22"/>
    </row>
    <row r="61" spans="1:14" ht="17.25" customHeight="1">
      <c r="A61" s="312"/>
      <c r="B61" s="31" t="s">
        <v>77</v>
      </c>
      <c r="C61" s="840">
        <f>_xlfn.CEILING.MATH((C60+75*$Z$1),0.1)</f>
        <v>266.5</v>
      </c>
      <c r="D61" s="841"/>
      <c r="E61" s="840">
        <f>_xlfn.CEILING.MATH((E60+75*$Z$1),0.1)</f>
        <v>357.5</v>
      </c>
      <c r="F61" s="841"/>
      <c r="G61" s="840">
        <f>_xlfn.CEILING.MATH((G60+75*$Z$1),0.1)</f>
        <v>286</v>
      </c>
      <c r="H61" s="841"/>
      <c r="I61" s="840">
        <f>_xlfn.CEILING.MATH((I60+75*$Z$1),0.1)</f>
        <v>299</v>
      </c>
      <c r="J61" s="841"/>
      <c r="K61" s="840">
        <f>_xlfn.CEILING.MATH((K60+75*$Z$1),0.1)</f>
        <v>266.5</v>
      </c>
      <c r="L61" s="841"/>
      <c r="M61" s="722"/>
      <c r="N61" s="22"/>
    </row>
    <row r="62" spans="1:14" ht="18.75" customHeight="1">
      <c r="A62" s="33" t="s">
        <v>76</v>
      </c>
      <c r="B62" s="31" t="s">
        <v>536</v>
      </c>
      <c r="C62" s="840">
        <f>_xlfn.CEILING.MATH((C60+55*$Z$1),0.1)</f>
        <v>240.5</v>
      </c>
      <c r="D62" s="841"/>
      <c r="E62" s="840">
        <f>_xlfn.CEILING.MATH((E60+55*$Z$1),0.1)</f>
        <v>331.5</v>
      </c>
      <c r="F62" s="841"/>
      <c r="G62" s="840">
        <f>_xlfn.CEILING.MATH((G60+55*$Z$1),0.1)</f>
        <v>260</v>
      </c>
      <c r="H62" s="841"/>
      <c r="I62" s="840">
        <f>_xlfn.CEILING.MATH((I60+55*$Z$1),0.1)</f>
        <v>273</v>
      </c>
      <c r="J62" s="841"/>
      <c r="K62" s="840">
        <f>_xlfn.CEILING.MATH((K60+55*$Z$1),0.1)</f>
        <v>240.5</v>
      </c>
      <c r="L62" s="841"/>
      <c r="M62" s="722"/>
      <c r="N62" s="22"/>
    </row>
    <row r="63" spans="1:14" ht="16.5" customHeight="1">
      <c r="A63" s="33"/>
      <c r="B63" s="31" t="s">
        <v>537</v>
      </c>
      <c r="C63" s="840">
        <f>_xlfn.CEILING.MATH((C62+75*$Z$1),0.1)</f>
        <v>338</v>
      </c>
      <c r="D63" s="841"/>
      <c r="E63" s="840">
        <f>_xlfn.CEILING.MATH((E62+75*$Z$1),0.1)</f>
        <v>429</v>
      </c>
      <c r="F63" s="841"/>
      <c r="G63" s="840">
        <f>_xlfn.CEILING.MATH((G62+75*$Z$1),0.1)</f>
        <v>357.5</v>
      </c>
      <c r="H63" s="841"/>
      <c r="I63" s="840">
        <f>_xlfn.CEILING.MATH((I62+75*$Z$1),0.1)</f>
        <v>370.5</v>
      </c>
      <c r="J63" s="841"/>
      <c r="K63" s="840">
        <f>_xlfn.CEILING.MATH((K62+75*$Z$1),0.1)</f>
        <v>338</v>
      </c>
      <c r="L63" s="841"/>
      <c r="M63" s="722"/>
      <c r="N63" s="22"/>
    </row>
    <row r="64" spans="1:14" ht="16.5" customHeight="1">
      <c r="A64" s="243"/>
      <c r="B64" s="34" t="s">
        <v>378</v>
      </c>
      <c r="C64" s="840">
        <f>_xlfn.CEILING.MATH((C60+70*$Z$1),0.1)</f>
        <v>260</v>
      </c>
      <c r="D64" s="841"/>
      <c r="E64" s="840">
        <f>_xlfn.CEILING.MATH((E60+70*$Z$1),0.1)</f>
        <v>351</v>
      </c>
      <c r="F64" s="841"/>
      <c r="G64" s="840">
        <f>_xlfn.CEILING.MATH((G60+70*$Z$1),0.1)</f>
        <v>279.5</v>
      </c>
      <c r="H64" s="841"/>
      <c r="I64" s="840">
        <f>_xlfn.CEILING.MATH((I60+70*$Z$1),0.1)</f>
        <v>292.5</v>
      </c>
      <c r="J64" s="841"/>
      <c r="K64" s="840">
        <f>_xlfn.CEILING.MATH((K60+70*$Z$1),0.1)</f>
        <v>260</v>
      </c>
      <c r="L64" s="841"/>
      <c r="M64" s="722"/>
      <c r="N64" s="22"/>
    </row>
    <row r="65" spans="1:14" ht="15.75" customHeight="1">
      <c r="A65" s="311"/>
      <c r="B65" s="757" t="s">
        <v>379</v>
      </c>
      <c r="C65" s="835">
        <f>_xlfn.CEILING.MATH((C64+75*$Z$1),0.1)</f>
        <v>357.5</v>
      </c>
      <c r="D65" s="836"/>
      <c r="E65" s="835">
        <f>_xlfn.CEILING.MATH((E64+75*$Z$1),0.1)</f>
        <v>448.5</v>
      </c>
      <c r="F65" s="836"/>
      <c r="G65" s="835">
        <f>_xlfn.CEILING.MATH((G64+75*$Z$1),0.1)</f>
        <v>377</v>
      </c>
      <c r="H65" s="836"/>
      <c r="I65" s="835">
        <f>_xlfn.CEILING.MATH((I64+75*$Z$1),0.1)</f>
        <v>390</v>
      </c>
      <c r="J65" s="836"/>
      <c r="K65" s="835">
        <f>_xlfn.CEILING.MATH((K64+75*$Z$1),0.1)</f>
        <v>357.5</v>
      </c>
      <c r="L65" s="836"/>
      <c r="M65" s="722"/>
      <c r="N65" s="22"/>
    </row>
    <row r="66" spans="1:14" ht="17.25" customHeight="1">
      <c r="A66" s="311"/>
      <c r="B66" s="34" t="s">
        <v>471</v>
      </c>
      <c r="C66" s="840">
        <f>_xlfn.CEILING.MATH((C60+85*$Z$1),0.1)</f>
        <v>279.5</v>
      </c>
      <c r="D66" s="841"/>
      <c r="E66" s="840">
        <f>_xlfn.CEILING.MATH((E60+85*$Z$1),0.1)</f>
        <v>370.5</v>
      </c>
      <c r="F66" s="841"/>
      <c r="G66" s="840">
        <f>_xlfn.CEILING.MATH((G60+85*$Z$1),0.1)</f>
        <v>299</v>
      </c>
      <c r="H66" s="841"/>
      <c r="I66" s="840">
        <f>_xlfn.CEILING.MATH((I60+85*$Z$1),0.1)</f>
        <v>312</v>
      </c>
      <c r="J66" s="841"/>
      <c r="K66" s="840">
        <f>_xlfn.CEILING.MATH((K60+85*$Z$1),0.1)</f>
        <v>279.5</v>
      </c>
      <c r="L66" s="841"/>
      <c r="M66" s="722"/>
      <c r="N66" s="22"/>
    </row>
    <row r="67" spans="1:14" ht="16.5" customHeight="1">
      <c r="A67" s="311"/>
      <c r="B67" s="34" t="s">
        <v>457</v>
      </c>
      <c r="C67" s="840">
        <f>_xlfn.CEILING.MATH((C60+90*$Z$1),0.1)</f>
        <v>286</v>
      </c>
      <c r="D67" s="841"/>
      <c r="E67" s="840">
        <f>_xlfn.CEILING.MATH((E60+90*$Z$1),0.1)</f>
        <v>377</v>
      </c>
      <c r="F67" s="841"/>
      <c r="G67" s="840">
        <f>_xlfn.CEILING.MATH((G60+90*$Z$1),0.1)</f>
        <v>305.5</v>
      </c>
      <c r="H67" s="841"/>
      <c r="I67" s="840">
        <f>_xlfn.CEILING.MATH((I60+90*$Z$1),0.1)</f>
        <v>318.5</v>
      </c>
      <c r="J67" s="841"/>
      <c r="K67" s="840">
        <f>_xlfn.CEILING.MATH((K60+90*$Z$1),0.1)</f>
        <v>286</v>
      </c>
      <c r="L67" s="841"/>
      <c r="M67" s="720"/>
      <c r="N67" s="3"/>
    </row>
    <row r="68" spans="1:14" ht="16.5" customHeight="1">
      <c r="A68" s="411"/>
      <c r="B68" s="34" t="s">
        <v>644</v>
      </c>
      <c r="C68" s="840">
        <f>_xlfn.CEILING.MATH((C60+100*$Z$1),0.1)</f>
        <v>299</v>
      </c>
      <c r="D68" s="841"/>
      <c r="E68" s="840">
        <f>_xlfn.CEILING.MATH((E60+100*$Z$1),0.1)</f>
        <v>390</v>
      </c>
      <c r="F68" s="841"/>
      <c r="G68" s="840">
        <f>_xlfn.CEILING.MATH((G60+100*$Z$1),0.1)</f>
        <v>318.5</v>
      </c>
      <c r="H68" s="841"/>
      <c r="I68" s="840">
        <f>_xlfn.CEILING.MATH((I60+100*$Z$1),0.1)</f>
        <v>331.5</v>
      </c>
      <c r="J68" s="841"/>
      <c r="K68" s="840">
        <f>_xlfn.CEILING.MATH((K60+100*$Z$1),0.1)</f>
        <v>299</v>
      </c>
      <c r="L68" s="841"/>
      <c r="M68" s="722"/>
      <c r="N68" s="226"/>
    </row>
    <row r="69" spans="1:14" ht="16.5" customHeight="1">
      <c r="A69" s="311"/>
      <c r="B69" s="34" t="s">
        <v>458</v>
      </c>
      <c r="C69" s="840">
        <f>_xlfn.CEILING.MATH((C60+115*$Z$1),0.1)</f>
        <v>318.5</v>
      </c>
      <c r="D69" s="841"/>
      <c r="E69" s="840">
        <f>_xlfn.CEILING.MATH((E60+115*$Z$1),0.1)</f>
        <v>409.5</v>
      </c>
      <c r="F69" s="841"/>
      <c r="G69" s="840">
        <f>_xlfn.CEILING.MATH((G60+115*$Z$1),0.1)</f>
        <v>338</v>
      </c>
      <c r="H69" s="841"/>
      <c r="I69" s="840">
        <f>_xlfn.CEILING.MATH((I60+115*$Z$1),0.1)</f>
        <v>351</v>
      </c>
      <c r="J69" s="841"/>
      <c r="K69" s="840">
        <f>_xlfn.CEILING.MATH((K60+115*$Z$1),0.1)</f>
        <v>318.5</v>
      </c>
      <c r="L69" s="841"/>
      <c r="M69" s="722"/>
      <c r="N69" s="226"/>
    </row>
    <row r="70" spans="1:14" ht="16.5" customHeight="1">
      <c r="A70" s="311"/>
      <c r="B70" s="34" t="s">
        <v>645</v>
      </c>
      <c r="C70" s="840">
        <f>_xlfn.CEILING.MATH((C60+120*$Z$1),0.1)</f>
        <v>325</v>
      </c>
      <c r="D70" s="841"/>
      <c r="E70" s="840">
        <f>_xlfn.CEILING.MATH((E60+120*$Z$1),0.1)</f>
        <v>416</v>
      </c>
      <c r="F70" s="841"/>
      <c r="G70" s="840">
        <f>_xlfn.CEILING.MATH((G60+120*$Z$1),0.1)</f>
        <v>344.5</v>
      </c>
      <c r="H70" s="841"/>
      <c r="I70" s="840">
        <f>_xlfn.CEILING.MATH((I60+120*$Z$1),0.1)</f>
        <v>357.5</v>
      </c>
      <c r="J70" s="841"/>
      <c r="K70" s="840">
        <f>_xlfn.CEILING.MATH((K60+120*$Z$1),0.1)</f>
        <v>325</v>
      </c>
      <c r="L70" s="841"/>
      <c r="M70" s="722"/>
      <c r="N70" s="226"/>
    </row>
    <row r="71" spans="1:25" s="724" customFormat="1" ht="16.5" customHeight="1">
      <c r="A71" s="321"/>
      <c r="B71" s="34" t="s">
        <v>640</v>
      </c>
      <c r="C71" s="840">
        <f>_xlfn.CEILING.MATH((C60+125*$Z$1),0.1)</f>
        <v>331.5</v>
      </c>
      <c r="D71" s="841"/>
      <c r="E71" s="840">
        <f>_xlfn.CEILING.MATH((E60+125*$Z$1),0.1)</f>
        <v>422.5</v>
      </c>
      <c r="F71" s="841"/>
      <c r="G71" s="840">
        <f>_xlfn.CEILING.MATH((G60+125*$Z$1),0.1)</f>
        <v>351</v>
      </c>
      <c r="H71" s="841"/>
      <c r="I71" s="840">
        <f>_xlfn.CEILING.MATH((I60+125*$Z$1),0.1)</f>
        <v>364</v>
      </c>
      <c r="J71" s="841"/>
      <c r="K71" s="840">
        <f>_xlfn.CEILING.MATH((K60+125*$Z$1),0.1)</f>
        <v>331.5</v>
      </c>
      <c r="L71" s="841"/>
      <c r="M71" s="722"/>
      <c r="N71" s="226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</row>
    <row r="72" spans="1:25" s="724" customFormat="1" ht="16.5" customHeight="1">
      <c r="A72" s="321"/>
      <c r="B72" s="34" t="s">
        <v>641</v>
      </c>
      <c r="C72" s="840">
        <f>_xlfn.CEILING.MATH(1105*$Z$1,0.1)</f>
        <v>1436.5</v>
      </c>
      <c r="D72" s="841"/>
      <c r="E72" s="840">
        <f>_xlfn.CEILING.MATH(1105*$Z$1,0.1)</f>
        <v>1436.5</v>
      </c>
      <c r="F72" s="841"/>
      <c r="G72" s="840">
        <f>_xlfn.CEILING.MATH(1105*$Z$1,0.1)</f>
        <v>1436.5</v>
      </c>
      <c r="H72" s="841"/>
      <c r="I72" s="840">
        <f>_xlfn.CEILING.MATH(1105*$Z$1,0.1)</f>
        <v>1436.5</v>
      </c>
      <c r="J72" s="841"/>
      <c r="K72" s="840">
        <f>_xlfn.CEILING.MATH(1105*$Z$1,0.1)</f>
        <v>1436.5</v>
      </c>
      <c r="L72" s="841"/>
      <c r="M72" s="722"/>
      <c r="N72" s="226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</row>
    <row r="73" spans="1:25" s="724" customFormat="1" ht="16.5" customHeight="1">
      <c r="A73" s="321"/>
      <c r="B73" s="757" t="s">
        <v>642</v>
      </c>
      <c r="C73" s="835">
        <f>_xlfn.CEILING.MATH(1530*$Z$1,0.1)</f>
        <v>1989</v>
      </c>
      <c r="D73" s="836"/>
      <c r="E73" s="835">
        <f>_xlfn.CEILING.MATH(1530*$Z$1,0.1)</f>
        <v>1989</v>
      </c>
      <c r="F73" s="836"/>
      <c r="G73" s="835">
        <f>_xlfn.CEILING.MATH(1530*$Z$1,0.1)</f>
        <v>1989</v>
      </c>
      <c r="H73" s="836"/>
      <c r="I73" s="835">
        <f>_xlfn.CEILING.MATH(1530*$Z$1,0.1)</f>
        <v>1989</v>
      </c>
      <c r="J73" s="836"/>
      <c r="K73" s="835">
        <f>_xlfn.CEILING.MATH(1530*$Z$1,0.1)</f>
        <v>1989</v>
      </c>
      <c r="L73" s="836"/>
      <c r="M73" s="722"/>
      <c r="N73" s="226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</row>
    <row r="74" spans="1:25" s="724" customFormat="1" ht="16.5" customHeight="1">
      <c r="A74" s="321"/>
      <c r="B74" s="42" t="s">
        <v>631</v>
      </c>
      <c r="C74" s="872">
        <v>0.15</v>
      </c>
      <c r="D74" s="873"/>
      <c r="E74" s="872">
        <v>0.1</v>
      </c>
      <c r="F74" s="873"/>
      <c r="G74" s="872">
        <v>0.15</v>
      </c>
      <c r="H74" s="873"/>
      <c r="I74" s="872">
        <v>0.15</v>
      </c>
      <c r="J74" s="873"/>
      <c r="K74" s="872">
        <v>0.15</v>
      </c>
      <c r="L74" s="873"/>
      <c r="M74" s="722"/>
      <c r="N74" s="226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</row>
    <row r="75" spans="1:14" ht="18.75" customHeight="1" thickBot="1">
      <c r="A75" s="391" t="s">
        <v>906</v>
      </c>
      <c r="B75" s="43" t="s">
        <v>633</v>
      </c>
      <c r="C75" s="874">
        <v>0.2</v>
      </c>
      <c r="D75" s="875"/>
      <c r="E75" s="874">
        <v>0.15</v>
      </c>
      <c r="F75" s="875"/>
      <c r="G75" s="874">
        <v>0.2</v>
      </c>
      <c r="H75" s="875"/>
      <c r="I75" s="874">
        <v>0.2</v>
      </c>
      <c r="J75" s="875"/>
      <c r="K75" s="874">
        <v>0.25</v>
      </c>
      <c r="L75" s="875"/>
      <c r="M75" s="722"/>
      <c r="N75" s="226"/>
    </row>
    <row r="76" spans="1:14" ht="18.75" customHeight="1" thickTop="1">
      <c r="A76" s="1011" t="s">
        <v>648</v>
      </c>
      <c r="B76" s="1011"/>
      <c r="C76" s="1011"/>
      <c r="D76" s="1011"/>
      <c r="E76" s="1011"/>
      <c r="F76" s="1011"/>
      <c r="G76" s="1011"/>
      <c r="H76" s="1011"/>
      <c r="I76" s="1063"/>
      <c r="J76" s="1063"/>
      <c r="K76" s="128"/>
      <c r="L76" s="128"/>
      <c r="M76" s="18"/>
      <c r="N76" s="226"/>
    </row>
    <row r="77" spans="1:25" s="724" customFormat="1" ht="18.75" customHeight="1">
      <c r="A77" s="1011" t="s">
        <v>607</v>
      </c>
      <c r="B77" s="1011"/>
      <c r="C77" s="1011"/>
      <c r="D77" s="1011"/>
      <c r="E77" s="1011"/>
      <c r="F77" s="1011"/>
      <c r="G77" s="1011"/>
      <c r="H77" s="1011"/>
      <c r="I77" s="1063"/>
      <c r="J77" s="1063"/>
      <c r="K77" s="128"/>
      <c r="L77" s="128"/>
      <c r="M77" s="18"/>
      <c r="N77" s="226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</row>
    <row r="78" spans="1:25" s="724" customFormat="1" ht="18.75" customHeight="1">
      <c r="A78" s="248" t="s">
        <v>646</v>
      </c>
      <c r="B78" s="734"/>
      <c r="C78" s="734"/>
      <c r="D78" s="734"/>
      <c r="E78" s="734"/>
      <c r="F78" s="734"/>
      <c r="G78" s="734"/>
      <c r="H78" s="734"/>
      <c r="I78" s="1063"/>
      <c r="J78" s="1063"/>
      <c r="K78" s="128"/>
      <c r="L78" s="128"/>
      <c r="M78" s="18"/>
      <c r="N78" s="226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</row>
    <row r="79" spans="1:25" s="724" customFormat="1" ht="18.75" customHeight="1">
      <c r="A79" s="248" t="s">
        <v>647</v>
      </c>
      <c r="B79" s="248"/>
      <c r="C79" s="248"/>
      <c r="D79" s="248"/>
      <c r="E79" s="248"/>
      <c r="F79" s="248"/>
      <c r="G79" s="24"/>
      <c r="H79" s="24"/>
      <c r="I79" s="1063"/>
      <c r="J79" s="1063"/>
      <c r="K79" s="128"/>
      <c r="L79" s="128"/>
      <c r="M79" s="18"/>
      <c r="N79" s="226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</row>
    <row r="80" spans="1:14" ht="17.25" customHeight="1" hidden="1" thickTop="1">
      <c r="A80" s="248" t="s">
        <v>588</v>
      </c>
      <c r="B80" s="721"/>
      <c r="C80" s="721"/>
      <c r="D80" s="721"/>
      <c r="E80" s="721"/>
      <c r="F80" s="721"/>
      <c r="G80" s="721"/>
      <c r="H80" s="721"/>
      <c r="I80" s="36"/>
      <c r="J80" s="36"/>
      <c r="K80" s="128"/>
      <c r="L80" s="128"/>
      <c r="M80" s="18"/>
      <c r="N80" s="226"/>
    </row>
    <row r="81" spans="1:14" ht="15" hidden="1">
      <c r="A81" s="248" t="s">
        <v>589</v>
      </c>
      <c r="B81" s="248"/>
      <c r="C81" s="248"/>
      <c r="D81" s="248"/>
      <c r="E81" s="248"/>
      <c r="F81" s="248"/>
      <c r="G81" s="24"/>
      <c r="H81" s="24"/>
      <c r="I81" s="25"/>
      <c r="J81" s="25"/>
      <c r="K81" s="128"/>
      <c r="L81" s="128"/>
      <c r="M81" s="22"/>
      <c r="N81" s="22"/>
    </row>
    <row r="82" spans="1:14" ht="15" hidden="1">
      <c r="A82" s="248" t="s">
        <v>459</v>
      </c>
      <c r="B82" s="248"/>
      <c r="C82" s="248"/>
      <c r="D82" s="248"/>
      <c r="E82" s="248"/>
      <c r="F82" s="248"/>
      <c r="G82" s="24"/>
      <c r="H82" s="24"/>
      <c r="I82" s="25"/>
      <c r="J82" s="25"/>
      <c r="K82" s="128"/>
      <c r="L82" s="128"/>
      <c r="M82" s="22"/>
      <c r="N82" s="22"/>
    </row>
    <row r="83" spans="1:14" ht="15.75" thickBot="1">
      <c r="A83" s="248"/>
      <c r="B83" s="248"/>
      <c r="C83" s="248"/>
      <c r="D83" s="248"/>
      <c r="E83" s="37"/>
      <c r="F83" s="37"/>
      <c r="G83" s="37"/>
      <c r="H83" s="37"/>
      <c r="I83" s="876"/>
      <c r="J83" s="876"/>
      <c r="K83" s="128"/>
      <c r="L83" s="128"/>
      <c r="M83" s="3"/>
      <c r="N83" s="3"/>
    </row>
    <row r="84" spans="1:15" ht="21.75" customHeight="1" thickTop="1">
      <c r="A84" s="285" t="s">
        <v>74</v>
      </c>
      <c r="B84" s="282"/>
      <c r="C84" s="420" t="s">
        <v>982</v>
      </c>
      <c r="D84" s="421"/>
      <c r="E84" s="422" t="s">
        <v>981</v>
      </c>
      <c r="F84" s="423"/>
      <c r="G84" s="422" t="s">
        <v>600</v>
      </c>
      <c r="H84" s="423"/>
      <c r="I84" s="422" t="s">
        <v>979</v>
      </c>
      <c r="J84" s="423"/>
      <c r="K84" s="422" t="s">
        <v>980</v>
      </c>
      <c r="L84" s="423"/>
      <c r="M84" s="422" t="s">
        <v>603</v>
      </c>
      <c r="N84" s="599"/>
      <c r="O84" s="625"/>
    </row>
    <row r="85" spans="1:15" ht="15">
      <c r="A85" s="412" t="s">
        <v>81</v>
      </c>
      <c r="B85" s="413" t="s">
        <v>431</v>
      </c>
      <c r="C85" s="840">
        <f>CEILING(110*$Z$1,0.1)</f>
        <v>143</v>
      </c>
      <c r="D85" s="844"/>
      <c r="E85" s="840">
        <f>CEILING(105*$Z$1,0.1)</f>
        <v>136.5</v>
      </c>
      <c r="F85" s="844"/>
      <c r="G85" s="840">
        <f>CEILING(165*$Z$1,0.1)</f>
        <v>214.5</v>
      </c>
      <c r="H85" s="844"/>
      <c r="I85" s="837">
        <f>CEILING(135*$Z$1,0.1)</f>
        <v>175.5</v>
      </c>
      <c r="J85" s="839"/>
      <c r="K85" s="837">
        <f>CEILING(150*$Z$1,0.1)</f>
        <v>195</v>
      </c>
      <c r="L85" s="839"/>
      <c r="M85" s="837">
        <f>CEILING(130*$Z$1,0.1)</f>
        <v>169</v>
      </c>
      <c r="N85" s="838"/>
      <c r="O85" s="625"/>
    </row>
    <row r="86" spans="1:15" ht="15">
      <c r="A86" s="414" t="s">
        <v>76</v>
      </c>
      <c r="B86" s="415" t="s">
        <v>432</v>
      </c>
      <c r="C86" s="840">
        <f>_xlfn.CEILING.MATH((C85+60*$Z$1),0.1)</f>
        <v>221</v>
      </c>
      <c r="D86" s="841"/>
      <c r="E86" s="840">
        <f>_xlfn.CEILING.MATH((E85+60*$Z$1),0.1)</f>
        <v>214.5</v>
      </c>
      <c r="F86" s="841"/>
      <c r="G86" s="840">
        <f>_xlfn.CEILING.MATH((G85+60*$Z$1),0.1)</f>
        <v>292.5</v>
      </c>
      <c r="H86" s="841"/>
      <c r="I86" s="840">
        <f>_xlfn.CEILING.MATH((I85+60*$Z$1),0.1)</f>
        <v>253.5</v>
      </c>
      <c r="J86" s="841"/>
      <c r="K86" s="840">
        <f>_xlfn.CEILING.MATH((K85+60*$Z$1),0.1)</f>
        <v>273</v>
      </c>
      <c r="L86" s="841"/>
      <c r="M86" s="840">
        <f>_xlfn.CEILING.MATH((M85+60*$Z$1),0.1)</f>
        <v>247</v>
      </c>
      <c r="N86" s="844"/>
      <c r="O86" s="625"/>
    </row>
    <row r="87" spans="1:15" ht="15">
      <c r="A87" s="416"/>
      <c r="B87" s="417" t="s">
        <v>78</v>
      </c>
      <c r="C87" s="840">
        <f>CEILING((C85*0.85),0.1)</f>
        <v>121.60000000000001</v>
      </c>
      <c r="D87" s="841"/>
      <c r="E87" s="840">
        <f>CEILING((E85*0.85),0.1)</f>
        <v>116.10000000000001</v>
      </c>
      <c r="F87" s="841"/>
      <c r="G87" s="840">
        <f>CEILING((G85*0.85),0.1)</f>
        <v>182.4</v>
      </c>
      <c r="H87" s="841"/>
      <c r="I87" s="840">
        <f>CEILING((I85*0.85),0.1)</f>
        <v>149.20000000000002</v>
      </c>
      <c r="J87" s="841"/>
      <c r="K87" s="840">
        <f>CEILING((K85*0.85),0.1)</f>
        <v>165.8</v>
      </c>
      <c r="L87" s="841"/>
      <c r="M87" s="840">
        <f>CEILING((M85*0.85),0.1)</f>
        <v>143.70000000000002</v>
      </c>
      <c r="N87" s="841"/>
      <c r="O87" s="625"/>
    </row>
    <row r="88" spans="1:15" ht="15">
      <c r="A88" s="416"/>
      <c r="B88" s="418" t="s">
        <v>439</v>
      </c>
      <c r="C88" s="840">
        <f>_xlfn.CEILING.MATH((C85+30*$Z$1),0.1)</f>
        <v>182</v>
      </c>
      <c r="D88" s="841"/>
      <c r="E88" s="840">
        <f>_xlfn.CEILING.MATH((E85+30*$Z$1),0.1)</f>
        <v>175.5</v>
      </c>
      <c r="F88" s="841"/>
      <c r="G88" s="840">
        <f>_xlfn.CEILING.MATH((G85+30*$Z$1),0.1)</f>
        <v>253.5</v>
      </c>
      <c r="H88" s="841"/>
      <c r="I88" s="840">
        <f>_xlfn.CEILING.MATH((I85+30*$Z$1),0.1)</f>
        <v>214.5</v>
      </c>
      <c r="J88" s="841"/>
      <c r="K88" s="840">
        <f>_xlfn.CEILING.MATH((K85+30*$Z$1),0.1)</f>
        <v>234</v>
      </c>
      <c r="L88" s="841"/>
      <c r="M88" s="840">
        <f>_xlfn.CEILING.MATH((M85+30*$Z$1),0.1)</f>
        <v>208</v>
      </c>
      <c r="N88" s="841"/>
      <c r="O88" s="625"/>
    </row>
    <row r="89" spans="1:15" ht="15">
      <c r="A89" s="419"/>
      <c r="B89" s="418" t="s">
        <v>440</v>
      </c>
      <c r="C89" s="840">
        <f>_xlfn.CEILING.MATH((C88+60*$Z$1),0.1)</f>
        <v>260</v>
      </c>
      <c r="D89" s="841"/>
      <c r="E89" s="840">
        <f>_xlfn.CEILING.MATH((E88+60*$Z$1),0.1)</f>
        <v>253.5</v>
      </c>
      <c r="F89" s="841"/>
      <c r="G89" s="840">
        <f>_xlfn.CEILING.MATH((G88+60*$Z$1),0.1)</f>
        <v>331.5</v>
      </c>
      <c r="H89" s="841"/>
      <c r="I89" s="840">
        <f>_xlfn.CEILING.MATH((I88+60*$Z$1),0.1)</f>
        <v>292.5</v>
      </c>
      <c r="J89" s="841"/>
      <c r="K89" s="840">
        <f>_xlfn.CEILING.MATH((K88+60*$Z$1),0.1)</f>
        <v>312</v>
      </c>
      <c r="L89" s="841"/>
      <c r="M89" s="840">
        <f>_xlfn.CEILING.MATH((M88+60*$Z$1),0.1)</f>
        <v>286</v>
      </c>
      <c r="N89" s="844"/>
      <c r="O89" s="625"/>
    </row>
    <row r="90" spans="1:15" ht="15.75" customHeight="1">
      <c r="A90" s="416"/>
      <c r="B90" s="418" t="s">
        <v>75</v>
      </c>
      <c r="C90" s="840">
        <f>_xlfn.CEILING.MATH((C85+40*$Z$1),0.1)</f>
        <v>195</v>
      </c>
      <c r="D90" s="841"/>
      <c r="E90" s="840">
        <f>_xlfn.CEILING.MATH((E85+40*$Z$1),0.1)</f>
        <v>188.5</v>
      </c>
      <c r="F90" s="841"/>
      <c r="G90" s="840">
        <f>_xlfn.CEILING.MATH((G85+40*$Z$1),0.1)</f>
        <v>266.5</v>
      </c>
      <c r="H90" s="841"/>
      <c r="I90" s="840">
        <f>_xlfn.CEILING.MATH((I85+40*$Z$1),0.1)</f>
        <v>227.5</v>
      </c>
      <c r="J90" s="841"/>
      <c r="K90" s="840">
        <f>_xlfn.CEILING.MATH((K85+40*$Z$1),0.1)</f>
        <v>247</v>
      </c>
      <c r="L90" s="841"/>
      <c r="M90" s="840">
        <f>_xlfn.CEILING.MATH((M85+40*$Z$1),0.1)</f>
        <v>221</v>
      </c>
      <c r="N90" s="841"/>
      <c r="O90" s="625"/>
    </row>
    <row r="91" spans="1:15" ht="15.75" customHeight="1" thickBot="1">
      <c r="A91" s="391" t="s">
        <v>906</v>
      </c>
      <c r="B91" s="755" t="s">
        <v>77</v>
      </c>
      <c r="C91" s="846">
        <f>_xlfn.CEILING.MATH((C90+70*$Z$1),0.1)</f>
        <v>286</v>
      </c>
      <c r="D91" s="848"/>
      <c r="E91" s="846">
        <f>_xlfn.CEILING.MATH((E90+70*$Z$1),0.1)</f>
        <v>279.5</v>
      </c>
      <c r="F91" s="848"/>
      <c r="G91" s="846">
        <f>_xlfn.CEILING.MATH((G90+70*$Z$1),0.1)</f>
        <v>357.5</v>
      </c>
      <c r="H91" s="848"/>
      <c r="I91" s="846">
        <f>_xlfn.CEILING.MATH((I90+70*$Z$1),0.1)</f>
        <v>318.5</v>
      </c>
      <c r="J91" s="848"/>
      <c r="K91" s="846">
        <f>_xlfn.CEILING.MATH((K90+70*$Z$1),0.1)</f>
        <v>338</v>
      </c>
      <c r="L91" s="848"/>
      <c r="M91" s="846">
        <f>_xlfn.CEILING.MATH((M90+70*$Z$1),0.1)</f>
        <v>312</v>
      </c>
      <c r="N91" s="848"/>
      <c r="O91" s="625"/>
    </row>
    <row r="92" spans="1:14" ht="15.75" thickTop="1">
      <c r="A92" s="944"/>
      <c r="B92" s="944"/>
      <c r="C92" s="944"/>
      <c r="D92" s="944"/>
      <c r="E92" s="944"/>
      <c r="F92" s="944"/>
      <c r="G92" s="944"/>
      <c r="H92" s="944"/>
      <c r="I92" s="944"/>
      <c r="J92" s="944"/>
      <c r="K92" s="753"/>
      <c r="L92" s="753"/>
      <c r="M92" s="754"/>
      <c r="N92" s="754"/>
    </row>
    <row r="93" spans="1:15" ht="15">
      <c r="A93" s="329" t="s">
        <v>86</v>
      </c>
      <c r="B93" s="171" t="s">
        <v>441</v>
      </c>
      <c r="C93" s="840">
        <f>_xlfn.CEILING.MATH((C85+45*$Z$1),0.1)</f>
        <v>201.5</v>
      </c>
      <c r="D93" s="844"/>
      <c r="E93" s="840">
        <f>_xlfn.CEILING.MATH((E85+45*$Z$1),0.1)</f>
        <v>195</v>
      </c>
      <c r="F93" s="844"/>
      <c r="G93" s="840">
        <f>_xlfn.CEILING.MATH((G85+45*$Z$1),0.1)</f>
        <v>273</v>
      </c>
      <c r="H93" s="844"/>
      <c r="I93" s="840">
        <f>_xlfn.CEILING.MATH((I85+45*$Z$1),0.1)</f>
        <v>234</v>
      </c>
      <c r="J93" s="844"/>
      <c r="K93" s="840">
        <f>_xlfn.CEILING.MATH((K85+45*$Z$1),0.1)</f>
        <v>253.5</v>
      </c>
      <c r="L93" s="844"/>
      <c r="M93" s="840">
        <f>_xlfn.CEILING.MATH((M85+45*$Z$1),0.1)</f>
        <v>227.5</v>
      </c>
      <c r="N93" s="844"/>
      <c r="O93" s="625"/>
    </row>
    <row r="94" spans="1:25" s="245" customFormat="1" ht="15">
      <c r="A94" s="262" t="s">
        <v>76</v>
      </c>
      <c r="B94" s="12" t="s">
        <v>443</v>
      </c>
      <c r="C94" s="840">
        <f>_xlfn.CEILING.MATH((C93+70*$Z$1),0.1)</f>
        <v>292.5</v>
      </c>
      <c r="D94" s="841"/>
      <c r="E94" s="840">
        <f>_xlfn.CEILING.MATH((E93+70*$Z$1),0.1)</f>
        <v>286</v>
      </c>
      <c r="F94" s="841"/>
      <c r="G94" s="840">
        <f>_xlfn.CEILING.MATH((G93+70*$Z$1),0.1)</f>
        <v>364</v>
      </c>
      <c r="H94" s="841"/>
      <c r="I94" s="840">
        <f>_xlfn.CEILING.MATH((I93+70*$Z$1),0.1)</f>
        <v>325</v>
      </c>
      <c r="J94" s="841"/>
      <c r="K94" s="840">
        <f>_xlfn.CEILING.MATH((K93+70*$Z$1),0.1)</f>
        <v>344.5</v>
      </c>
      <c r="L94" s="841"/>
      <c r="M94" s="840">
        <f>_xlfn.CEILING.MATH((M93+70*$Z$1),0.1)</f>
        <v>318.5</v>
      </c>
      <c r="N94" s="841"/>
      <c r="O94" s="625"/>
      <c r="P94" s="244"/>
      <c r="Q94" s="244"/>
      <c r="R94" s="244"/>
      <c r="S94" s="244"/>
      <c r="T94" s="244"/>
      <c r="U94" s="244"/>
      <c r="V94" s="244"/>
      <c r="W94" s="244"/>
      <c r="X94" s="244"/>
      <c r="Y94" s="244"/>
    </row>
    <row r="95" spans="1:15" ht="16.5" thickBot="1">
      <c r="A95" s="391" t="s">
        <v>906</v>
      </c>
      <c r="B95" s="49" t="s">
        <v>78</v>
      </c>
      <c r="C95" s="846">
        <f>CEILING((C93*0.85),0.1)</f>
        <v>171.3</v>
      </c>
      <c r="D95" s="848"/>
      <c r="E95" s="846">
        <f>CEILING((E93*0.85),0.1)</f>
        <v>165.8</v>
      </c>
      <c r="F95" s="848"/>
      <c r="G95" s="846">
        <f>CEILING((G93*0.85),0.1)</f>
        <v>232.10000000000002</v>
      </c>
      <c r="H95" s="848"/>
      <c r="I95" s="846">
        <f>CEILING((I93*0.85),0.1)</f>
        <v>198.9</v>
      </c>
      <c r="J95" s="848"/>
      <c r="K95" s="846">
        <f>CEILING((K93*0.85),0.1)</f>
        <v>215.5</v>
      </c>
      <c r="L95" s="848"/>
      <c r="M95" s="846">
        <f>CEILING((M93*0.85),0.1)</f>
        <v>193.4</v>
      </c>
      <c r="N95" s="848"/>
      <c r="O95" s="625"/>
    </row>
    <row r="96" spans="1:25" s="724" customFormat="1" ht="15.75" thickTop="1">
      <c r="A96" s="24" t="s">
        <v>444</v>
      </c>
      <c r="B96" s="51"/>
      <c r="C96" s="729"/>
      <c r="D96" s="729"/>
      <c r="E96" s="729"/>
      <c r="F96" s="729"/>
      <c r="G96" s="729"/>
      <c r="H96" s="729"/>
      <c r="I96" s="729"/>
      <c r="J96" s="729"/>
      <c r="K96" s="502"/>
      <c r="L96" s="502"/>
      <c r="M96" s="22"/>
      <c r="N96" s="22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</row>
    <row r="97" spans="1:14" ht="15">
      <c r="A97" s="248" t="s">
        <v>619</v>
      </c>
      <c r="B97" s="389"/>
      <c r="C97" s="389"/>
      <c r="D97" s="389"/>
      <c r="E97" s="389"/>
      <c r="F97" s="389"/>
      <c r="G97" s="389"/>
      <c r="H97" s="389"/>
      <c r="I97" s="389"/>
      <c r="J97" s="389"/>
      <c r="K97" s="502"/>
      <c r="L97" s="502"/>
      <c r="M97" s="22"/>
      <c r="N97" s="22"/>
    </row>
    <row r="98" spans="1:14" ht="15" hidden="1">
      <c r="A98" s="248" t="s">
        <v>442</v>
      </c>
      <c r="B98" s="248"/>
      <c r="C98" s="248"/>
      <c r="D98" s="248"/>
      <c r="E98" s="248"/>
      <c r="F98" s="248"/>
      <c r="G98" s="24"/>
      <c r="H98" s="24"/>
      <c r="I98" s="44"/>
      <c r="J98" s="44"/>
      <c r="K98" s="128"/>
      <c r="L98" s="128"/>
      <c r="M98" s="22"/>
      <c r="N98" s="22"/>
    </row>
    <row r="99" spans="1:14" ht="15.75" thickBot="1">
      <c r="A99" s="38"/>
      <c r="B99" s="38"/>
      <c r="C99" s="38"/>
      <c r="D99" s="38"/>
      <c r="E99" s="38"/>
      <c r="F99" s="38"/>
      <c r="G99" s="38"/>
      <c r="H99" s="38"/>
      <c r="I99" s="876"/>
      <c r="J99" s="876"/>
      <c r="K99" s="128"/>
      <c r="L99" s="128"/>
      <c r="M99" s="22"/>
      <c r="N99" s="22"/>
    </row>
    <row r="100" spans="1:14" ht="24" customHeight="1" thickTop="1">
      <c r="A100" s="10" t="s">
        <v>74</v>
      </c>
      <c r="B100" s="11"/>
      <c r="C100" s="420" t="s">
        <v>954</v>
      </c>
      <c r="D100" s="421"/>
      <c r="E100" s="422" t="s">
        <v>952</v>
      </c>
      <c r="F100" s="423"/>
      <c r="G100" s="422" t="s">
        <v>979</v>
      </c>
      <c r="H100" s="423"/>
      <c r="I100" s="422" t="s">
        <v>980</v>
      </c>
      <c r="J100" s="423"/>
      <c r="K100" s="422" t="s">
        <v>977</v>
      </c>
      <c r="L100" s="599"/>
      <c r="M100" s="23"/>
      <c r="N100" s="22"/>
    </row>
    <row r="101" spans="1:14" ht="15">
      <c r="A101" s="39" t="s">
        <v>87</v>
      </c>
      <c r="B101" s="45" t="s">
        <v>431</v>
      </c>
      <c r="C101" s="840">
        <f>CEILING(100*$Z$1,0.1)</f>
        <v>130</v>
      </c>
      <c r="D101" s="844"/>
      <c r="E101" s="840">
        <f>CEILING(150*$Z$1,0.1)</f>
        <v>195</v>
      </c>
      <c r="F101" s="844"/>
      <c r="G101" s="840">
        <f>CEILING(125*$Z$1,0.1)</f>
        <v>162.5</v>
      </c>
      <c r="H101" s="844"/>
      <c r="I101" s="840">
        <f>CEILING(135*$Z$1,0.1)</f>
        <v>175.5</v>
      </c>
      <c r="J101" s="844"/>
      <c r="K101" s="840">
        <f>CEILING(110*$Z$1,0.1)</f>
        <v>143</v>
      </c>
      <c r="L101" s="844"/>
      <c r="M101" s="23"/>
      <c r="N101" s="22"/>
    </row>
    <row r="102" spans="1:14" ht="16.5" customHeight="1">
      <c r="A102" s="40" t="s">
        <v>76</v>
      </c>
      <c r="B102" s="12" t="s">
        <v>432</v>
      </c>
      <c r="C102" s="840">
        <f>_xlfn.CEILING.MATH((C101+60*$Z$1),0.1)</f>
        <v>208</v>
      </c>
      <c r="D102" s="841"/>
      <c r="E102" s="840">
        <f>_xlfn.CEILING.MATH((E101+60*$Z$1),0.1)</f>
        <v>273</v>
      </c>
      <c r="F102" s="841"/>
      <c r="G102" s="840">
        <f>_xlfn.CEILING.MATH((G101+60*$Z$1),0.1)</f>
        <v>240.5</v>
      </c>
      <c r="H102" s="841"/>
      <c r="I102" s="840">
        <f>_xlfn.CEILING.MATH((I101+60*$Z$1),0.1)</f>
        <v>253.5</v>
      </c>
      <c r="J102" s="841"/>
      <c r="K102" s="840">
        <f>_xlfn.CEILING.MATH((K101+60*$Z$1),0.1)</f>
        <v>221</v>
      </c>
      <c r="L102" s="841"/>
      <c r="M102" s="23"/>
      <c r="N102" s="22"/>
    </row>
    <row r="103" spans="1:14" ht="16.5" customHeight="1">
      <c r="A103" s="40"/>
      <c r="B103" s="42" t="s">
        <v>107</v>
      </c>
      <c r="C103" s="840">
        <f>CEILING((C101*0.5),0.1)</f>
        <v>65</v>
      </c>
      <c r="D103" s="841"/>
      <c r="E103" s="840">
        <f>CEILING((E101*0.5),0.1)</f>
        <v>97.5</v>
      </c>
      <c r="F103" s="841"/>
      <c r="G103" s="840">
        <f>CEILING((G101*0.5),0.1)</f>
        <v>81.30000000000001</v>
      </c>
      <c r="H103" s="841"/>
      <c r="I103" s="840">
        <f>CEILING((I101*0.5),0.1)</f>
        <v>87.80000000000001</v>
      </c>
      <c r="J103" s="841"/>
      <c r="K103" s="840">
        <f>CEILING((K101*0.5),0.1)</f>
        <v>71.5</v>
      </c>
      <c r="L103" s="841"/>
      <c r="M103" s="23"/>
      <c r="N103" s="22"/>
    </row>
    <row r="104" spans="1:14" ht="16.5" customHeight="1">
      <c r="A104" s="705"/>
      <c r="B104" s="12" t="s">
        <v>439</v>
      </c>
      <c r="C104" s="840">
        <f>_xlfn.CEILING.MATH((C101+20*$Z$1),0.1)</f>
        <v>156</v>
      </c>
      <c r="D104" s="841"/>
      <c r="E104" s="840">
        <f>_xlfn.CEILING.MATH((E101+20*$Z$1),0.1)</f>
        <v>221</v>
      </c>
      <c r="F104" s="841"/>
      <c r="G104" s="840">
        <f>_xlfn.CEILING.MATH((G101+20*$Z$1),0.1)</f>
        <v>188.5</v>
      </c>
      <c r="H104" s="841"/>
      <c r="I104" s="840">
        <f>_xlfn.CEILING.MATH((I101+20*$Z$1),0.1)</f>
        <v>201.5</v>
      </c>
      <c r="J104" s="841"/>
      <c r="K104" s="840">
        <f>_xlfn.CEILING.MATH((K101+20*$Z$1),0.1)</f>
        <v>169</v>
      </c>
      <c r="L104" s="841"/>
      <c r="M104" s="23"/>
      <c r="N104" s="22"/>
    </row>
    <row r="105" spans="1:13" ht="17.25" customHeight="1">
      <c r="A105" s="706"/>
      <c r="B105" s="12" t="s">
        <v>440</v>
      </c>
      <c r="C105" s="840">
        <f>_xlfn.CEILING.MATH((C104+60*$Z$1),0.1)</f>
        <v>234</v>
      </c>
      <c r="D105" s="841"/>
      <c r="E105" s="840">
        <f>_xlfn.CEILING.MATH((E104+60*$Z$1),0.1)</f>
        <v>299</v>
      </c>
      <c r="F105" s="841"/>
      <c r="G105" s="840">
        <f>_xlfn.CEILING.MATH((G104+60*$Z$1),0.1)</f>
        <v>266.5</v>
      </c>
      <c r="H105" s="841"/>
      <c r="I105" s="840">
        <f>_xlfn.CEILING.MATH((I104+60*$Z$1),0.1)</f>
        <v>279.5</v>
      </c>
      <c r="J105" s="841"/>
      <c r="K105" s="840">
        <f>_xlfn.CEILING.MATH((K104+60*$Z$1),0.1)</f>
        <v>247</v>
      </c>
      <c r="L105" s="841"/>
      <c r="M105" s="625"/>
    </row>
    <row r="106" spans="1:13" ht="18.75" customHeight="1">
      <c r="A106" s="725"/>
      <c r="B106" s="42" t="s">
        <v>296</v>
      </c>
      <c r="C106" s="840">
        <f>_xlfn.CEILING.MATH((C101+30*$Z$1),0.1)</f>
        <v>169</v>
      </c>
      <c r="D106" s="841"/>
      <c r="E106" s="840">
        <f>_xlfn.CEILING.MATH((E101+30*$Z$1),0.1)</f>
        <v>234</v>
      </c>
      <c r="F106" s="841"/>
      <c r="G106" s="840">
        <f>_xlfn.CEILING.MATH((G101+30*$Z$1),0.1)</f>
        <v>201.5</v>
      </c>
      <c r="H106" s="841"/>
      <c r="I106" s="840">
        <f>_xlfn.CEILING.MATH((I101+30*$Z$1),0.1)</f>
        <v>214.5</v>
      </c>
      <c r="J106" s="841"/>
      <c r="K106" s="840">
        <f>_xlfn.CEILING.MATH((K101+30*$Z$1),0.1)</f>
        <v>182</v>
      </c>
      <c r="L106" s="841"/>
      <c r="M106" s="625"/>
    </row>
    <row r="107" spans="1:13" ht="18" customHeight="1">
      <c r="A107" s="40"/>
      <c r="B107" s="42" t="s">
        <v>297</v>
      </c>
      <c r="C107" s="840">
        <f>_xlfn.CEILING.MATH((C106+60*$Z$1),0.1)</f>
        <v>247</v>
      </c>
      <c r="D107" s="841"/>
      <c r="E107" s="840">
        <f>_xlfn.CEILING.MATH((E106+60*$Z$1),0.1)</f>
        <v>312</v>
      </c>
      <c r="F107" s="841"/>
      <c r="G107" s="840">
        <f>_xlfn.CEILING.MATH((G106+60*$Z$1),0.1)</f>
        <v>279.5</v>
      </c>
      <c r="H107" s="841"/>
      <c r="I107" s="840">
        <f>_xlfn.CEILING.MATH((I106+60*$Z$1),0.1)</f>
        <v>292.5</v>
      </c>
      <c r="J107" s="841"/>
      <c r="K107" s="840">
        <f>_xlfn.CEILING.MATH((K106+60*$Z$1),0.1)</f>
        <v>260</v>
      </c>
      <c r="L107" s="841"/>
      <c r="M107" s="625"/>
    </row>
    <row r="108" spans="1:13" ht="17.25" customHeight="1">
      <c r="A108" s="40"/>
      <c r="B108" s="14" t="s">
        <v>277</v>
      </c>
      <c r="C108" s="840">
        <f>_xlfn.CEILING.MATH((C101+35*$Z$1),0.1)</f>
        <v>175.5</v>
      </c>
      <c r="D108" s="841"/>
      <c r="E108" s="840">
        <f>_xlfn.CEILING.MATH((E101+35*$Z$1),0.1)</f>
        <v>240.5</v>
      </c>
      <c r="F108" s="841"/>
      <c r="G108" s="840">
        <f>_xlfn.CEILING.MATH((G101+35*$Z$1),0.1)</f>
        <v>208</v>
      </c>
      <c r="H108" s="841"/>
      <c r="I108" s="840">
        <f>_xlfn.CEILING.MATH((I101+35*$Z$1),0.1)</f>
        <v>221</v>
      </c>
      <c r="J108" s="841"/>
      <c r="K108" s="840">
        <f>_xlfn.CEILING.MATH((K101+35*$Z$1),0.1)</f>
        <v>188.5</v>
      </c>
      <c r="L108" s="841"/>
      <c r="M108" s="625"/>
    </row>
    <row r="109" spans="1:13" ht="18.75" customHeight="1">
      <c r="A109" s="40"/>
      <c r="B109" s="42" t="s">
        <v>299</v>
      </c>
      <c r="C109" s="840">
        <f>_xlfn.CEILING.MATH((C101+45*$Z$1),0.1)</f>
        <v>188.5</v>
      </c>
      <c r="D109" s="841"/>
      <c r="E109" s="840">
        <f>_xlfn.CEILING.MATH((E101+45*$Z$1),0.1)</f>
        <v>253.5</v>
      </c>
      <c r="F109" s="841"/>
      <c r="G109" s="840">
        <f>_xlfn.CEILING.MATH((G101+45*$Z$1),0.1)</f>
        <v>221</v>
      </c>
      <c r="H109" s="841"/>
      <c r="I109" s="840">
        <f>_xlfn.CEILING.MATH((I101+45*$Z$1),0.1)</f>
        <v>234</v>
      </c>
      <c r="J109" s="841"/>
      <c r="K109" s="840">
        <f>_xlfn.CEILING.MATH((K101+45*$Z$1),0.1)</f>
        <v>201.5</v>
      </c>
      <c r="L109" s="841"/>
      <c r="M109" s="625"/>
    </row>
    <row r="110" spans="1:25" s="724" customFormat="1" ht="18.75" customHeight="1">
      <c r="A110" s="111"/>
      <c r="B110" s="42" t="s">
        <v>373</v>
      </c>
      <c r="C110" s="840">
        <f>_xlfn.CEILING.MATH((C101+55*$Z$1),0.1)</f>
        <v>201.5</v>
      </c>
      <c r="D110" s="841"/>
      <c r="E110" s="840">
        <f>_xlfn.CEILING.MATH((E101+55*$Z$1),0.1)</f>
        <v>266.5</v>
      </c>
      <c r="F110" s="841"/>
      <c r="G110" s="840">
        <f>_xlfn.CEILING.MATH((G101+55*$Z$1),0.1)</f>
        <v>234</v>
      </c>
      <c r="H110" s="841"/>
      <c r="I110" s="840">
        <f>_xlfn.CEILING.MATH((I101+55*$Z$1),0.1)</f>
        <v>247</v>
      </c>
      <c r="J110" s="841"/>
      <c r="K110" s="840">
        <f>_xlfn.CEILING.MATH((K101+55*$Z$1),0.1)</f>
        <v>214.5</v>
      </c>
      <c r="L110" s="841"/>
      <c r="M110" s="625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</row>
    <row r="111" spans="1:25" s="724" customFormat="1" ht="18.75" customHeight="1">
      <c r="A111" s="111"/>
      <c r="B111" s="42" t="s">
        <v>613</v>
      </c>
      <c r="C111" s="872">
        <v>0.15</v>
      </c>
      <c r="D111" s="873"/>
      <c r="E111" s="872">
        <v>0.05</v>
      </c>
      <c r="F111" s="873"/>
      <c r="G111" s="872">
        <v>0.2</v>
      </c>
      <c r="H111" s="873"/>
      <c r="I111" s="872">
        <v>0.2</v>
      </c>
      <c r="J111" s="873"/>
      <c r="K111" s="872">
        <v>0.2</v>
      </c>
      <c r="L111" s="873"/>
      <c r="M111" s="625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</row>
    <row r="112" spans="1:13" ht="18" customHeight="1" thickBot="1">
      <c r="A112" s="391" t="s">
        <v>907</v>
      </c>
      <c r="B112" s="43" t="s">
        <v>614</v>
      </c>
      <c r="C112" s="874">
        <v>0.1</v>
      </c>
      <c r="D112" s="875"/>
      <c r="E112" s="874">
        <v>0</v>
      </c>
      <c r="F112" s="875"/>
      <c r="G112" s="874">
        <v>0.1</v>
      </c>
      <c r="H112" s="875"/>
      <c r="I112" s="874">
        <v>0.1</v>
      </c>
      <c r="J112" s="875"/>
      <c r="K112" s="874">
        <v>0.1</v>
      </c>
      <c r="L112" s="875"/>
      <c r="M112" s="625"/>
    </row>
    <row r="113" spans="1:25" s="724" customFormat="1" ht="17.25" customHeight="1" thickTop="1">
      <c r="A113" s="601" t="s">
        <v>612</v>
      </c>
      <c r="B113" s="374"/>
      <c r="C113" s="229"/>
      <c r="D113" s="229"/>
      <c r="E113" s="229"/>
      <c r="F113" s="229"/>
      <c r="G113" s="229"/>
      <c r="H113" s="229"/>
      <c r="I113" s="229"/>
      <c r="J113" s="229"/>
      <c r="K113" s="590"/>
      <c r="L113" s="590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</row>
    <row r="114" spans="1:25" s="724" customFormat="1" ht="15">
      <c r="A114" s="408" t="s">
        <v>298</v>
      </c>
      <c r="B114" s="408"/>
      <c r="C114" s="408"/>
      <c r="D114" s="408"/>
      <c r="E114" s="408"/>
      <c r="F114" s="408"/>
      <c r="G114" s="408"/>
      <c r="H114" s="408"/>
      <c r="I114" s="408"/>
      <c r="J114" s="408"/>
      <c r="K114" s="600"/>
      <c r="L114" s="600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</row>
    <row r="115" spans="1:25" s="724" customFormat="1" ht="15">
      <c r="A115" s="248" t="s">
        <v>615</v>
      </c>
      <c r="B115" s="389"/>
      <c r="C115" s="389"/>
      <c r="D115" s="389"/>
      <c r="E115" s="389"/>
      <c r="F115" s="389"/>
      <c r="G115" s="389"/>
      <c r="H115" s="389"/>
      <c r="I115" s="389"/>
      <c r="J115" s="389"/>
      <c r="K115" s="600"/>
      <c r="L115" s="600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</row>
    <row r="116" spans="1:25" s="724" customFormat="1" ht="15.75" customHeight="1">
      <c r="A116" s="248" t="s">
        <v>616</v>
      </c>
      <c r="B116" s="248"/>
      <c r="C116" s="248"/>
      <c r="D116" s="248"/>
      <c r="E116" s="248"/>
      <c r="F116" s="248"/>
      <c r="G116" s="24"/>
      <c r="H116" s="24"/>
      <c r="I116" s="25"/>
      <c r="J116" s="25"/>
      <c r="K116" s="128"/>
      <c r="L116" s="128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</row>
    <row r="117" spans="1:13" ht="15.75" thickBot="1">
      <c r="A117" s="47"/>
      <c r="B117" s="38"/>
      <c r="C117" s="38"/>
      <c r="D117" s="38"/>
      <c r="E117" s="38"/>
      <c r="F117" s="48"/>
      <c r="G117" s="48"/>
      <c r="H117" s="48"/>
      <c r="I117" s="1114"/>
      <c r="J117" s="1114"/>
      <c r="K117" s="128"/>
      <c r="L117" s="128"/>
      <c r="M117" s="244"/>
    </row>
    <row r="118" spans="1:16" ht="23.25" customHeight="1" thickTop="1">
      <c r="A118" s="10" t="s">
        <v>74</v>
      </c>
      <c r="B118" s="282"/>
      <c r="C118" s="420" t="s">
        <v>954</v>
      </c>
      <c r="D118" s="421"/>
      <c r="E118" s="422" t="s">
        <v>975</v>
      </c>
      <c r="F118" s="423"/>
      <c r="G118" s="422" t="s">
        <v>953</v>
      </c>
      <c r="H118" s="423"/>
      <c r="I118" s="422" t="s">
        <v>980</v>
      </c>
      <c r="J118" s="423"/>
      <c r="K118" s="422" t="s">
        <v>977</v>
      </c>
      <c r="L118" s="599"/>
      <c r="M118" s="4"/>
      <c r="N118" s="3"/>
      <c r="O118" s="3"/>
      <c r="P118" s="3"/>
    </row>
    <row r="119" spans="1:14" ht="15" customHeight="1">
      <c r="A119" s="318" t="s">
        <v>263</v>
      </c>
      <c r="B119" s="171" t="s">
        <v>431</v>
      </c>
      <c r="C119" s="840">
        <f>CEILING(85*$Z$1,0.1)</f>
        <v>110.5</v>
      </c>
      <c r="D119" s="844"/>
      <c r="E119" s="840">
        <f>CEILING(140*$Z$1,0.1)</f>
        <v>182</v>
      </c>
      <c r="F119" s="844"/>
      <c r="G119" s="840">
        <f>CEILING(110*$Z$1,0.1)</f>
        <v>143</v>
      </c>
      <c r="H119" s="844"/>
      <c r="I119" s="840">
        <f>CEILING(120*$Z$1,0.1)</f>
        <v>156</v>
      </c>
      <c r="J119" s="844"/>
      <c r="K119" s="840">
        <f>CEILING(90*$Z$1,0.1)</f>
        <v>117</v>
      </c>
      <c r="L119" s="844"/>
      <c r="M119" s="23"/>
      <c r="N119" s="22"/>
    </row>
    <row r="120" spans="1:14" ht="16.5" customHeight="1">
      <c r="A120" s="319" t="s">
        <v>76</v>
      </c>
      <c r="B120" s="12" t="s">
        <v>432</v>
      </c>
      <c r="C120" s="840">
        <f>_xlfn.CEILING.MATH((C119+50*$Z$1),0.1)</f>
        <v>175.5</v>
      </c>
      <c r="D120" s="841"/>
      <c r="E120" s="840">
        <f>_xlfn.CEILING.MATH((E119+50*$Z$1),0.1)</f>
        <v>247</v>
      </c>
      <c r="F120" s="841"/>
      <c r="G120" s="840">
        <f>_xlfn.CEILING.MATH((G119+50*$Z$1),0.1)</f>
        <v>208</v>
      </c>
      <c r="H120" s="841"/>
      <c r="I120" s="840">
        <f>_xlfn.CEILING.MATH((I119+50*$Z$1),0.1)</f>
        <v>221</v>
      </c>
      <c r="J120" s="841"/>
      <c r="K120" s="840">
        <f>_xlfn.CEILING.MATH((K119+50*$Z$1),0.1)</f>
        <v>182</v>
      </c>
      <c r="L120" s="841"/>
      <c r="M120" s="23"/>
      <c r="N120" s="22"/>
    </row>
    <row r="121" spans="1:14" ht="17.25" customHeight="1">
      <c r="A121" s="320"/>
      <c r="B121" s="12" t="s">
        <v>78</v>
      </c>
      <c r="C121" s="840">
        <f>CEILING((C119*0.85),0.1)</f>
        <v>94</v>
      </c>
      <c r="D121" s="841"/>
      <c r="E121" s="840">
        <f>CEILING((E119*0.85),0.1)</f>
        <v>154.70000000000002</v>
      </c>
      <c r="F121" s="841"/>
      <c r="G121" s="840">
        <f>CEILING((G119*0.85),0.1)</f>
        <v>121.60000000000001</v>
      </c>
      <c r="H121" s="841"/>
      <c r="I121" s="840">
        <f>CEILING((I119*0.85),0.1)</f>
        <v>132.6</v>
      </c>
      <c r="J121" s="841"/>
      <c r="K121" s="840">
        <f>CEILING((K119*0.85),0.1)</f>
        <v>99.5</v>
      </c>
      <c r="L121" s="841"/>
      <c r="M121" s="23"/>
      <c r="N121" s="22"/>
    </row>
    <row r="122" spans="1:14" ht="15">
      <c r="A122" s="321"/>
      <c r="B122" s="42" t="s">
        <v>107</v>
      </c>
      <c r="C122" s="840">
        <f>CEILING((C119*0.5),0.1)</f>
        <v>55.300000000000004</v>
      </c>
      <c r="D122" s="841"/>
      <c r="E122" s="840">
        <f>CEILING((E119*0.5),0.1)</f>
        <v>91</v>
      </c>
      <c r="F122" s="841"/>
      <c r="G122" s="840">
        <f>CEILING((G119*0.5),0.1)</f>
        <v>71.5</v>
      </c>
      <c r="H122" s="841"/>
      <c r="I122" s="840">
        <f>CEILING((I119*0.5),0.1)</f>
        <v>78</v>
      </c>
      <c r="J122" s="841"/>
      <c r="K122" s="840">
        <f>CEILING((K119*0.5),0.1)</f>
        <v>58.5</v>
      </c>
      <c r="L122" s="841"/>
      <c r="M122" s="23"/>
      <c r="N122" s="22"/>
    </row>
    <row r="123" spans="1:25" s="724" customFormat="1" ht="15">
      <c r="A123" s="321"/>
      <c r="B123" s="42" t="s">
        <v>449</v>
      </c>
      <c r="C123" s="840">
        <f>_xlfn.CEILING.MATH(515*$Z$1,0.1)</f>
        <v>669.5</v>
      </c>
      <c r="D123" s="841"/>
      <c r="E123" s="840">
        <f>_xlfn.CEILING.MATH(735*$Z$1,0.1)</f>
        <v>955.5</v>
      </c>
      <c r="F123" s="841"/>
      <c r="G123" s="840">
        <f>_xlfn.CEILING.MATH(565*$Z$1,0.1)</f>
        <v>734.5</v>
      </c>
      <c r="H123" s="841"/>
      <c r="I123" s="840">
        <f>_xlfn.CEILING.MATH(565*$Z$1,0.1)</f>
        <v>734.5</v>
      </c>
      <c r="J123" s="841"/>
      <c r="K123" s="840">
        <f>_xlfn.CEILING.MATH(565*$Z$1,0.1)</f>
        <v>734.5</v>
      </c>
      <c r="L123" s="841"/>
      <c r="M123" s="23"/>
      <c r="N123" s="22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</row>
    <row r="124" spans="1:14" ht="16.5" thickBot="1">
      <c r="A124" s="391" t="s">
        <v>909</v>
      </c>
      <c r="B124" s="42" t="s">
        <v>623</v>
      </c>
      <c r="C124" s="874">
        <v>0.15</v>
      </c>
      <c r="D124" s="875"/>
      <c r="E124" s="874">
        <v>0.1</v>
      </c>
      <c r="F124" s="875"/>
      <c r="G124" s="874">
        <v>0.1</v>
      </c>
      <c r="H124" s="875"/>
      <c r="I124" s="874">
        <v>0.15</v>
      </c>
      <c r="J124" s="875"/>
      <c r="K124" s="874">
        <v>0.1</v>
      </c>
      <c r="L124" s="875"/>
      <c r="M124" s="23"/>
      <c r="N124" s="22"/>
    </row>
    <row r="125" spans="1:14" ht="15.75" thickTop="1">
      <c r="A125" s="1010" t="s">
        <v>450</v>
      </c>
      <c r="B125" s="1010"/>
      <c r="C125" s="1010"/>
      <c r="D125" s="1010"/>
      <c r="E125" s="1010"/>
      <c r="F125" s="1010"/>
      <c r="G125" s="1010"/>
      <c r="H125" s="1010"/>
      <c r="I125" s="1010"/>
      <c r="J125" s="1010"/>
      <c r="K125" s="602"/>
      <c r="L125" s="602"/>
      <c r="M125" s="22"/>
      <c r="N125" s="22"/>
    </row>
    <row r="126" spans="1:25" s="724" customFormat="1" ht="15">
      <c r="A126" s="248" t="s">
        <v>625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602"/>
      <c r="L126" s="602"/>
      <c r="M126" s="22"/>
      <c r="N126" s="22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</row>
    <row r="127" spans="1:14" ht="15" customHeight="1" thickBot="1">
      <c r="A127" s="248"/>
      <c r="B127" s="248"/>
      <c r="C127" s="248"/>
      <c r="D127" s="248"/>
      <c r="E127" s="248"/>
      <c r="F127" s="248"/>
      <c r="G127" s="3"/>
      <c r="H127" s="3"/>
      <c r="I127" s="2"/>
      <c r="J127" s="2"/>
      <c r="K127" s="128"/>
      <c r="L127" s="128"/>
      <c r="M127" s="22"/>
      <c r="N127" s="22"/>
    </row>
    <row r="128" spans="1:14" ht="24" customHeight="1" thickTop="1">
      <c r="A128" s="10" t="s">
        <v>74</v>
      </c>
      <c r="B128" s="11"/>
      <c r="C128" s="420" t="s">
        <v>954</v>
      </c>
      <c r="D128" s="421"/>
      <c r="E128" s="422" t="s">
        <v>952</v>
      </c>
      <c r="F128" s="423"/>
      <c r="G128" s="422" t="s">
        <v>953</v>
      </c>
      <c r="H128" s="423"/>
      <c r="I128" s="422" t="s">
        <v>976</v>
      </c>
      <c r="J128" s="423"/>
      <c r="K128" s="422" t="s">
        <v>983</v>
      </c>
      <c r="L128" s="599"/>
      <c r="M128" s="23"/>
      <c r="N128" s="22"/>
    </row>
    <row r="129" spans="1:14" ht="15">
      <c r="A129" s="318" t="s">
        <v>276</v>
      </c>
      <c r="B129" s="45" t="s">
        <v>431</v>
      </c>
      <c r="C129" s="840">
        <f>CEILING(90*$Z$1,0.1)</f>
        <v>117</v>
      </c>
      <c r="D129" s="844"/>
      <c r="E129" s="840">
        <f>CEILING(140*$Z$1,0.1)</f>
        <v>182</v>
      </c>
      <c r="F129" s="844"/>
      <c r="G129" s="840">
        <f>CEILING(115*$Z$1,0.1)</f>
        <v>149.5</v>
      </c>
      <c r="H129" s="844"/>
      <c r="I129" s="840">
        <f>CEILING(125*$Z$1,0.1)</f>
        <v>162.5</v>
      </c>
      <c r="J129" s="844"/>
      <c r="K129" s="840">
        <f>CEILING(100*$Z$1,0.1)</f>
        <v>130</v>
      </c>
      <c r="L129" s="844"/>
      <c r="M129" s="23"/>
      <c r="N129" s="22"/>
    </row>
    <row r="130" spans="1:14" ht="15.75" customHeight="1">
      <c r="A130" s="319" t="s">
        <v>76</v>
      </c>
      <c r="B130" s="12" t="s">
        <v>432</v>
      </c>
      <c r="C130" s="840">
        <f>_xlfn.CEILING.MATH((C129+45*$Z$1),0.1)</f>
        <v>175.5</v>
      </c>
      <c r="D130" s="841"/>
      <c r="E130" s="840">
        <f>_xlfn.CEILING.MATH((E129+45*$Z$1),0.1)</f>
        <v>240.5</v>
      </c>
      <c r="F130" s="841"/>
      <c r="G130" s="840">
        <f>_xlfn.CEILING.MATH((G129+45*$Z$1),0.1)</f>
        <v>208</v>
      </c>
      <c r="H130" s="841"/>
      <c r="I130" s="840">
        <f>_xlfn.CEILING.MATH((I129+45*$Z$1),0.1)</f>
        <v>221</v>
      </c>
      <c r="J130" s="841"/>
      <c r="K130" s="840">
        <f>_xlfn.CEILING.MATH((K129+45*$Z$1),0.1)</f>
        <v>188.5</v>
      </c>
      <c r="L130" s="841"/>
      <c r="M130" s="23"/>
      <c r="N130" s="22"/>
    </row>
    <row r="131" spans="1:14" ht="17.25" customHeight="1">
      <c r="A131" s="335"/>
      <c r="B131" s="12" t="s">
        <v>78</v>
      </c>
      <c r="C131" s="840">
        <f>CEILING((C129*0.85),0.1)</f>
        <v>99.5</v>
      </c>
      <c r="D131" s="841"/>
      <c r="E131" s="840">
        <f>CEILING((E129*0.85),0.1)</f>
        <v>154.70000000000002</v>
      </c>
      <c r="F131" s="841"/>
      <c r="G131" s="840">
        <f>CEILING((G129*0.85),0.1)</f>
        <v>127.10000000000001</v>
      </c>
      <c r="H131" s="841"/>
      <c r="I131" s="840">
        <f>CEILING((I129*0.85),0.1)</f>
        <v>138.20000000000002</v>
      </c>
      <c r="J131" s="841"/>
      <c r="K131" s="840">
        <f>CEILING((K129*0.85),0.1)</f>
        <v>110.5</v>
      </c>
      <c r="L131" s="841"/>
      <c r="M131" s="23"/>
      <c r="N131" s="22"/>
    </row>
    <row r="132" spans="1:14" ht="17.25" customHeight="1">
      <c r="A132" s="705"/>
      <c r="B132" s="42" t="s">
        <v>107</v>
      </c>
      <c r="C132" s="840">
        <f>CEILING((C129*0.5),0.1)</f>
        <v>58.5</v>
      </c>
      <c r="D132" s="841"/>
      <c r="E132" s="840">
        <f>CEILING((E129*0.5),0.1)</f>
        <v>91</v>
      </c>
      <c r="F132" s="841"/>
      <c r="G132" s="840">
        <f>CEILING((G129*0.5),0.1)</f>
        <v>74.8</v>
      </c>
      <c r="H132" s="841"/>
      <c r="I132" s="840">
        <f>CEILING((I129*0.5),0.1)</f>
        <v>81.30000000000001</v>
      </c>
      <c r="J132" s="841"/>
      <c r="K132" s="840">
        <f>CEILING((K129*0.5),0.1)</f>
        <v>65</v>
      </c>
      <c r="L132" s="841"/>
      <c r="M132" s="23"/>
      <c r="N132" s="22"/>
    </row>
    <row r="133" spans="1:14" ht="18" customHeight="1">
      <c r="A133" s="706"/>
      <c r="B133" s="42" t="s">
        <v>460</v>
      </c>
      <c r="C133" s="840">
        <f>_xlfn.CEILING.MATH((C129+15*$Z$1),0.1)</f>
        <v>136.5</v>
      </c>
      <c r="D133" s="841"/>
      <c r="E133" s="840">
        <f>_xlfn.CEILING.MATH((E129+15*$Z$1),0.1)</f>
        <v>201.5</v>
      </c>
      <c r="F133" s="841"/>
      <c r="G133" s="840">
        <f>_xlfn.CEILING.MATH((G129+15*$Z$1),0.1)</f>
        <v>169</v>
      </c>
      <c r="H133" s="841"/>
      <c r="I133" s="840">
        <f>_xlfn.CEILING.MATH((I129+15*$Z$1),0.1)</f>
        <v>182</v>
      </c>
      <c r="J133" s="841"/>
      <c r="K133" s="840">
        <f>_xlfn.CEILING.MATH((K129+15*$Z$1),0.1)</f>
        <v>149.5</v>
      </c>
      <c r="L133" s="841"/>
      <c r="M133" s="23"/>
      <c r="N133" s="22"/>
    </row>
    <row r="134" spans="1:14" ht="17.25" customHeight="1">
      <c r="A134" s="321"/>
      <c r="B134" s="759" t="s">
        <v>461</v>
      </c>
      <c r="C134" s="835">
        <f>_xlfn.CEILING.MATH((C133+45*$Z$1),0.1)</f>
        <v>195</v>
      </c>
      <c r="D134" s="836"/>
      <c r="E134" s="835">
        <f>_xlfn.CEILING.MATH((E133+45*$Z$1),0.1)</f>
        <v>260</v>
      </c>
      <c r="F134" s="836"/>
      <c r="G134" s="835">
        <f>_xlfn.CEILING.MATH((G133+45*$Z$1),0.1)</f>
        <v>227.5</v>
      </c>
      <c r="H134" s="836"/>
      <c r="I134" s="835">
        <f>_xlfn.CEILING.MATH((I133+45*$Z$1),0.1)</f>
        <v>240.5</v>
      </c>
      <c r="J134" s="836"/>
      <c r="K134" s="835">
        <f>_xlfn.CEILING.MATH((K133+45*$Z$1),0.1)</f>
        <v>208</v>
      </c>
      <c r="L134" s="836"/>
      <c r="M134" s="23"/>
      <c r="N134" s="22"/>
    </row>
    <row r="135" spans="1:14" ht="17.25" customHeight="1">
      <c r="A135" s="22"/>
      <c r="B135" s="14" t="s">
        <v>277</v>
      </c>
      <c r="C135" s="840">
        <f>_xlfn.CEILING.MATH((C129+30*$Z$1),0.1)</f>
        <v>156</v>
      </c>
      <c r="D135" s="841"/>
      <c r="E135" s="840">
        <f>_xlfn.CEILING.MATH((E129+30*$Z$1),0.1)</f>
        <v>221</v>
      </c>
      <c r="F135" s="841"/>
      <c r="G135" s="840">
        <f>_xlfn.CEILING.MATH((G129+30*$Z$1),0.1)</f>
        <v>188.5</v>
      </c>
      <c r="H135" s="841"/>
      <c r="I135" s="840">
        <f>_xlfn.CEILING.MATH((I129+30*$Z$1),0.1)</f>
        <v>201.5</v>
      </c>
      <c r="J135" s="841"/>
      <c r="K135" s="840">
        <f>_xlfn.CEILING.MATH((K129+30*$Z$1),0.1)</f>
        <v>169</v>
      </c>
      <c r="L135" s="841"/>
      <c r="M135" s="23"/>
      <c r="N135" s="22"/>
    </row>
    <row r="136" spans="1:14" ht="15.75" customHeight="1">
      <c r="A136" s="22"/>
      <c r="B136" s="14" t="s">
        <v>278</v>
      </c>
      <c r="C136" s="840">
        <f>_xlfn.CEILING.MATH((C135+55*$Z$1),0.1)</f>
        <v>227.5</v>
      </c>
      <c r="D136" s="841"/>
      <c r="E136" s="840">
        <f>_xlfn.CEILING.MATH((E135+55*$Z$1),0.1)</f>
        <v>292.5</v>
      </c>
      <c r="F136" s="841"/>
      <c r="G136" s="840">
        <f>_xlfn.CEILING.MATH((G135+55*$Z$1),0.1)</f>
        <v>260</v>
      </c>
      <c r="H136" s="841"/>
      <c r="I136" s="840">
        <f>_xlfn.CEILING.MATH((I135+55*$Z$1),0.1)</f>
        <v>273</v>
      </c>
      <c r="J136" s="841"/>
      <c r="K136" s="840">
        <f>_xlfn.CEILING.MATH((K135+55*$Z$1),0.1)</f>
        <v>240.5</v>
      </c>
      <c r="L136" s="841"/>
      <c r="M136" s="23"/>
      <c r="N136" s="22"/>
    </row>
    <row r="137" spans="1:14" ht="17.25" customHeight="1">
      <c r="A137" s="22"/>
      <c r="B137" s="14" t="s">
        <v>300</v>
      </c>
      <c r="C137" s="840">
        <f>_xlfn.CEILING.MATH((C129+35*$Z$1),0.1)</f>
        <v>162.5</v>
      </c>
      <c r="D137" s="841"/>
      <c r="E137" s="840">
        <f>_xlfn.CEILING.MATH((E129+35*$Z$1),0.1)</f>
        <v>227.5</v>
      </c>
      <c r="F137" s="841"/>
      <c r="G137" s="840">
        <f>_xlfn.CEILING.MATH((G129+35*$Z$1),0.1)</f>
        <v>195</v>
      </c>
      <c r="H137" s="841"/>
      <c r="I137" s="840">
        <f>_xlfn.CEILING.MATH((I129+35*$Z$1),0.1)</f>
        <v>208</v>
      </c>
      <c r="J137" s="841"/>
      <c r="K137" s="840">
        <f>_xlfn.CEILING.MATH((K129+35*$Z$1),0.1)</f>
        <v>175.5</v>
      </c>
      <c r="L137" s="841"/>
      <c r="M137" s="23"/>
      <c r="N137" s="22"/>
    </row>
    <row r="138" spans="1:14" ht="18" customHeight="1">
      <c r="A138" s="22"/>
      <c r="B138" s="14" t="s">
        <v>301</v>
      </c>
      <c r="C138" s="840">
        <f>_xlfn.CEILING.MATH((C137+55*$Z$1),0.1)</f>
        <v>234</v>
      </c>
      <c r="D138" s="841"/>
      <c r="E138" s="840">
        <f>_xlfn.CEILING.MATH((E137+55*$Z$1),0.1)</f>
        <v>299</v>
      </c>
      <c r="F138" s="841"/>
      <c r="G138" s="840">
        <f>_xlfn.CEILING.MATH((G137+55*$Z$1),0.1)</f>
        <v>266.5</v>
      </c>
      <c r="H138" s="841"/>
      <c r="I138" s="840">
        <f>_xlfn.CEILING.MATH((I137+55*$Z$1),0.1)</f>
        <v>279.5</v>
      </c>
      <c r="J138" s="841"/>
      <c r="K138" s="840">
        <f>_xlfn.CEILING.MATH((K137+55*$Z$1),0.1)</f>
        <v>247</v>
      </c>
      <c r="L138" s="841"/>
      <c r="M138" s="23"/>
      <c r="N138" s="22"/>
    </row>
    <row r="139" spans="1:25" s="427" customFormat="1" ht="17.25" customHeight="1">
      <c r="A139" s="22"/>
      <c r="B139" s="14" t="s">
        <v>380</v>
      </c>
      <c r="C139" s="840">
        <f>_xlfn.CEILING.MATH((C129+40*$Z$1),0.1)</f>
        <v>169</v>
      </c>
      <c r="D139" s="841"/>
      <c r="E139" s="840">
        <f>_xlfn.CEILING.MATH((E129+40*$Z$1),0.1)</f>
        <v>234</v>
      </c>
      <c r="F139" s="841"/>
      <c r="G139" s="840">
        <f>_xlfn.CEILING.MATH((G129+40*$Z$1),0.1)</f>
        <v>201.5</v>
      </c>
      <c r="H139" s="841"/>
      <c r="I139" s="840">
        <f>_xlfn.CEILING.MATH((I129+40*$Z$1),0.1)</f>
        <v>214.5</v>
      </c>
      <c r="J139" s="841"/>
      <c r="K139" s="840">
        <f>_xlfn.CEILING.MATH((K129+40*$Z$1),0.1)</f>
        <v>182</v>
      </c>
      <c r="L139" s="841"/>
      <c r="M139" s="758"/>
      <c r="N139" s="425"/>
      <c r="O139" s="426"/>
      <c r="P139" s="426"/>
      <c r="Q139" s="426"/>
      <c r="R139" s="426"/>
      <c r="S139" s="426"/>
      <c r="T139" s="426"/>
      <c r="U139" s="426"/>
      <c r="V139" s="426"/>
      <c r="W139" s="426"/>
      <c r="X139" s="426"/>
      <c r="Y139" s="426"/>
    </row>
    <row r="140" spans="1:14" ht="17.25" customHeight="1">
      <c r="A140" s="22"/>
      <c r="B140" s="14" t="s">
        <v>381</v>
      </c>
      <c r="C140" s="840">
        <f>_xlfn.CEILING.MATH((C139+75*$Z$1),0.1)</f>
        <v>266.5</v>
      </c>
      <c r="D140" s="841"/>
      <c r="E140" s="840">
        <f>_xlfn.CEILING.MATH((E139+75*$Z$1),0.1)</f>
        <v>331.5</v>
      </c>
      <c r="F140" s="841"/>
      <c r="G140" s="840">
        <f>_xlfn.CEILING.MATH((G139+75*$Z$1),0.1)</f>
        <v>299</v>
      </c>
      <c r="H140" s="841"/>
      <c r="I140" s="840">
        <f>_xlfn.CEILING.MATH((I139+75*$Z$1),0.1)</f>
        <v>312</v>
      </c>
      <c r="J140" s="841"/>
      <c r="K140" s="840">
        <f>_xlfn.CEILING.MATH((K139+75*$Z$1),0.1)</f>
        <v>279.5</v>
      </c>
      <c r="L140" s="841"/>
      <c r="M140" s="23"/>
      <c r="N140" s="22"/>
    </row>
    <row r="141" spans="1:14" ht="18" customHeight="1">
      <c r="A141" s="22"/>
      <c r="B141" s="14" t="s">
        <v>382</v>
      </c>
      <c r="C141" s="840">
        <f>_xlfn.CEILING.MATH((C129+45*$Z$1),0.1)</f>
        <v>175.5</v>
      </c>
      <c r="D141" s="841"/>
      <c r="E141" s="840">
        <f>_xlfn.CEILING.MATH((E129+45*$Z$1),0.1)</f>
        <v>240.5</v>
      </c>
      <c r="F141" s="841"/>
      <c r="G141" s="840">
        <f>_xlfn.CEILING.MATH((G129+45*$Z$1),0.1)</f>
        <v>208</v>
      </c>
      <c r="H141" s="841"/>
      <c r="I141" s="840">
        <f>_xlfn.CEILING.MATH((I129+45*$Z$1),0.1)</f>
        <v>221</v>
      </c>
      <c r="J141" s="841"/>
      <c r="K141" s="840">
        <f>_xlfn.CEILING.MATH((K129+45*$Z$1),0.1)</f>
        <v>188.5</v>
      </c>
      <c r="L141" s="841"/>
      <c r="M141" s="23"/>
      <c r="N141" s="22"/>
    </row>
    <row r="142" spans="1:14" ht="17.25" customHeight="1" thickBot="1">
      <c r="A142" s="391" t="s">
        <v>907</v>
      </c>
      <c r="B142" s="49" t="s">
        <v>383</v>
      </c>
      <c r="C142" s="846">
        <f>_xlfn.CEILING.MATH((C141+75*$Z$1),0.1)</f>
        <v>273</v>
      </c>
      <c r="D142" s="848"/>
      <c r="E142" s="846">
        <f>_xlfn.CEILING.MATH((E141+75*$Z$1),0.1)</f>
        <v>338</v>
      </c>
      <c r="F142" s="848"/>
      <c r="G142" s="846">
        <f>_xlfn.CEILING.MATH((G141+75*$Z$1),0.1)</f>
        <v>305.5</v>
      </c>
      <c r="H142" s="848"/>
      <c r="I142" s="846">
        <f>_xlfn.CEILING.MATH((I141+75*$Z$1),0.1)</f>
        <v>318.5</v>
      </c>
      <c r="J142" s="848"/>
      <c r="K142" s="846">
        <f>_xlfn.CEILING.MATH((K141+75*$Z$1),0.1)</f>
        <v>286</v>
      </c>
      <c r="L142" s="848"/>
      <c r="M142" s="23"/>
      <c r="N142" s="22"/>
    </row>
    <row r="143" spans="1:14" ht="17.25" customHeight="1" thickTop="1">
      <c r="A143" s="24" t="s">
        <v>462</v>
      </c>
      <c r="B143" s="51"/>
      <c r="C143" s="3"/>
      <c r="D143" s="3"/>
      <c r="E143" s="3"/>
      <c r="F143" s="3"/>
      <c r="G143" s="3"/>
      <c r="H143" s="3"/>
      <c r="I143" s="3"/>
      <c r="J143" s="3"/>
      <c r="K143" s="590"/>
      <c r="L143" s="590"/>
      <c r="M143" s="22"/>
      <c r="N143" s="22"/>
    </row>
    <row r="144" spans="1:14" ht="17.25" customHeight="1" hidden="1">
      <c r="A144" s="248" t="s">
        <v>591</v>
      </c>
      <c r="B144" s="51"/>
      <c r="C144" s="3"/>
      <c r="D144" s="3"/>
      <c r="E144" s="3"/>
      <c r="F144" s="3"/>
      <c r="G144" s="3"/>
      <c r="H144" s="3"/>
      <c r="I144" s="3"/>
      <c r="J144" s="3"/>
      <c r="K144" s="590"/>
      <c r="L144" s="590"/>
      <c r="M144" s="22"/>
      <c r="N144" s="22"/>
    </row>
    <row r="145" spans="1:25" s="724" customFormat="1" ht="17.25" customHeight="1">
      <c r="A145" s="248" t="s">
        <v>649</v>
      </c>
      <c r="B145" s="51"/>
      <c r="C145" s="3"/>
      <c r="D145" s="3"/>
      <c r="E145" s="3"/>
      <c r="F145" s="3"/>
      <c r="G145" s="3"/>
      <c r="H145" s="3"/>
      <c r="I145" s="3"/>
      <c r="J145" s="3"/>
      <c r="K145" s="590"/>
      <c r="L145" s="590"/>
      <c r="M145" s="22"/>
      <c r="N145" s="22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</row>
    <row r="146" spans="1:14" ht="15.75" thickBot="1">
      <c r="A146" s="248"/>
      <c r="B146" s="248"/>
      <c r="C146" s="248"/>
      <c r="D146" s="248"/>
      <c r="E146" s="248"/>
      <c r="F146" s="248"/>
      <c r="G146" s="3"/>
      <c r="H146" s="3"/>
      <c r="I146" s="248"/>
      <c r="J146" s="248"/>
      <c r="K146" s="128"/>
      <c r="L146" s="128"/>
      <c r="M146" s="22"/>
      <c r="N146" s="22"/>
    </row>
    <row r="147" spans="1:14" ht="26.25" customHeight="1" thickTop="1">
      <c r="A147" s="334" t="s">
        <v>279</v>
      </c>
      <c r="B147" s="338" t="s">
        <v>280</v>
      </c>
      <c r="C147" s="420" t="s">
        <v>985</v>
      </c>
      <c r="D147" s="421"/>
      <c r="E147" s="422" t="s">
        <v>952</v>
      </c>
      <c r="F147" s="423"/>
      <c r="G147" s="422" t="s">
        <v>984</v>
      </c>
      <c r="H147" s="423"/>
      <c r="I147" s="422" t="s">
        <v>878</v>
      </c>
      <c r="J147" s="599"/>
      <c r="K147" s="604"/>
      <c r="L147" s="603"/>
      <c r="M147" s="22"/>
      <c r="N147" s="22"/>
    </row>
    <row r="148" spans="1:14" ht="15">
      <c r="A148" s="319" t="s">
        <v>76</v>
      </c>
      <c r="B148" s="331" t="s">
        <v>324</v>
      </c>
      <c r="C148" s="840">
        <f>CEILING(60*$Z$1,0.1)</f>
        <v>78</v>
      </c>
      <c r="D148" s="844"/>
      <c r="E148" s="840">
        <f>CEILING(100*$Z$1,0.1)</f>
        <v>130</v>
      </c>
      <c r="F148" s="844"/>
      <c r="G148" s="840">
        <f>CEILING(95*$Z$1,0.1)</f>
        <v>123.5</v>
      </c>
      <c r="H148" s="844"/>
      <c r="I148" s="840">
        <f>CEILING(60*$Z$1,0.1)</f>
        <v>78</v>
      </c>
      <c r="J148" s="844"/>
      <c r="K148" s="588"/>
      <c r="L148" s="590"/>
      <c r="M148" s="22"/>
      <c r="N148" s="22"/>
    </row>
    <row r="149" spans="1:14" ht="15">
      <c r="A149" s="337" t="s">
        <v>463</v>
      </c>
      <c r="B149" s="332" t="s">
        <v>281</v>
      </c>
      <c r="C149" s="840">
        <f>CEILING(125*$Z$1,0.1)</f>
        <v>162.5</v>
      </c>
      <c r="D149" s="841"/>
      <c r="E149" s="840">
        <f>CEILING(165*$Z$1,0.1)</f>
        <v>214.5</v>
      </c>
      <c r="F149" s="841"/>
      <c r="G149" s="840">
        <f>CEILING(160*$Z$1,0.1)</f>
        <v>208</v>
      </c>
      <c r="H149" s="841"/>
      <c r="I149" s="840">
        <f>CEILING(125*$Z$1,0.1)</f>
        <v>162.5</v>
      </c>
      <c r="J149" s="841"/>
      <c r="K149" s="588"/>
      <c r="L149" s="590"/>
      <c r="M149" s="22"/>
      <c r="N149" s="22"/>
    </row>
    <row r="150" spans="1:14" ht="15">
      <c r="A150" s="336"/>
      <c r="B150" s="332" t="s">
        <v>282</v>
      </c>
      <c r="C150" s="840">
        <f>CEILING(185*$Z$1,0.1)</f>
        <v>240.5</v>
      </c>
      <c r="D150" s="841"/>
      <c r="E150" s="840">
        <f>CEILING(225*$Z$1,0.1)</f>
        <v>292.5</v>
      </c>
      <c r="F150" s="841"/>
      <c r="G150" s="840">
        <f>CEILING(220*$Z$1,0.1)</f>
        <v>286</v>
      </c>
      <c r="H150" s="841"/>
      <c r="I150" s="840">
        <f>CEILING(185*$Z$1,0.1)</f>
        <v>240.5</v>
      </c>
      <c r="J150" s="841"/>
      <c r="K150" s="588"/>
      <c r="L150" s="590"/>
      <c r="M150" s="22"/>
      <c r="N150" s="22"/>
    </row>
    <row r="151" spans="1:14" ht="16.5" thickBot="1">
      <c r="A151" s="391" t="s">
        <v>906</v>
      </c>
      <c r="B151" s="468" t="s">
        <v>302</v>
      </c>
      <c r="C151" s="846">
        <f>CEILING(250*$Z$1,0.1)</f>
        <v>325</v>
      </c>
      <c r="D151" s="848"/>
      <c r="E151" s="846">
        <f>CEILING(290*$Z$1,0.1)</f>
        <v>377</v>
      </c>
      <c r="F151" s="848"/>
      <c r="G151" s="846">
        <f>CEILING(285*$Z$1,0.1)</f>
        <v>370.5</v>
      </c>
      <c r="H151" s="848"/>
      <c r="I151" s="846">
        <f>CEILING(250*$Z$1,0.1)</f>
        <v>325</v>
      </c>
      <c r="J151" s="848"/>
      <c r="K151" s="588"/>
      <c r="L151" s="590"/>
      <c r="M151" s="22"/>
      <c r="N151" s="22"/>
    </row>
    <row r="152" spans="1:14" ht="16.5" customHeight="1" thickTop="1">
      <c r="A152" s="1011" t="s">
        <v>465</v>
      </c>
      <c r="B152" s="1011"/>
      <c r="C152" s="1011"/>
      <c r="D152" s="1011"/>
      <c r="E152" s="1011"/>
      <c r="F152" s="1011"/>
      <c r="G152" s="1011"/>
      <c r="H152" s="1011"/>
      <c r="I152" s="1011"/>
      <c r="J152" s="1011"/>
      <c r="K152" s="128"/>
      <c r="L152" s="128"/>
      <c r="M152" s="22"/>
      <c r="N152" s="22"/>
    </row>
    <row r="153" spans="1:14" ht="17.25" customHeight="1">
      <c r="A153" s="24" t="s">
        <v>325</v>
      </c>
      <c r="B153" s="24"/>
      <c r="C153" s="24"/>
      <c r="D153" s="24"/>
      <c r="E153" s="24"/>
      <c r="F153" s="24"/>
      <c r="G153" s="24"/>
      <c r="H153" s="24"/>
      <c r="I153" s="602"/>
      <c r="J153" s="602"/>
      <c r="K153" s="128"/>
      <c r="L153" s="128"/>
      <c r="M153" s="22"/>
      <c r="N153" s="22"/>
    </row>
    <row r="154" spans="1:14" ht="19.5" customHeight="1">
      <c r="A154" s="248" t="s">
        <v>464</v>
      </c>
      <c r="B154" s="248"/>
      <c r="C154" s="248"/>
      <c r="D154" s="248"/>
      <c r="E154" s="248"/>
      <c r="F154" s="248"/>
      <c r="G154" s="3"/>
      <c r="H154" s="3"/>
      <c r="I154" s="3"/>
      <c r="J154" s="3"/>
      <c r="K154" s="128"/>
      <c r="L154" s="128"/>
      <c r="M154" s="22"/>
      <c r="N154" s="22"/>
    </row>
    <row r="155" spans="1:14" ht="15.75" customHeight="1" thickBot="1">
      <c r="A155" s="1023"/>
      <c r="B155" s="1024"/>
      <c r="C155" s="1024"/>
      <c r="D155" s="1024"/>
      <c r="E155" s="1024"/>
      <c r="F155" s="1024"/>
      <c r="G155" s="424"/>
      <c r="H155" s="424"/>
      <c r="I155" s="424"/>
      <c r="J155" s="424"/>
      <c r="K155" s="504"/>
      <c r="L155" s="504"/>
      <c r="M155" s="22"/>
      <c r="N155" s="22"/>
    </row>
    <row r="156" spans="1:14" ht="23.25" customHeight="1" thickTop="1">
      <c r="A156" s="10" t="s">
        <v>74</v>
      </c>
      <c r="B156" s="11"/>
      <c r="C156" s="420" t="s">
        <v>954</v>
      </c>
      <c r="D156" s="421"/>
      <c r="E156" s="422" t="s">
        <v>975</v>
      </c>
      <c r="F156" s="423"/>
      <c r="G156" s="422" t="s">
        <v>953</v>
      </c>
      <c r="H156" s="423"/>
      <c r="I156" s="422" t="s">
        <v>602</v>
      </c>
      <c r="J156" s="423"/>
      <c r="K156" s="422" t="s">
        <v>977</v>
      </c>
      <c r="L156" s="599"/>
      <c r="M156" s="23"/>
      <c r="N156" s="22"/>
    </row>
    <row r="157" spans="1:14" ht="15">
      <c r="A157" s="329" t="s">
        <v>90</v>
      </c>
      <c r="B157" s="331" t="s">
        <v>44</v>
      </c>
      <c r="C157" s="840">
        <f>CEILING(75*$Z$1,0.1)</f>
        <v>97.5</v>
      </c>
      <c r="D157" s="844"/>
      <c r="E157" s="840">
        <f>CEILING(120*$Z$1,0.1)</f>
        <v>156</v>
      </c>
      <c r="F157" s="844"/>
      <c r="G157" s="840">
        <f>CEILING(100*$Z$1,0.1)</f>
        <v>130</v>
      </c>
      <c r="H157" s="844"/>
      <c r="I157" s="840">
        <f>CEILING(105*$Z$1,0.1)</f>
        <v>136.5</v>
      </c>
      <c r="J157" s="844"/>
      <c r="K157" s="840">
        <f>CEILING(95*$Z$1,0.1)</f>
        <v>123.5</v>
      </c>
      <c r="L157" s="844"/>
      <c r="M157" s="23"/>
      <c r="N157" s="22"/>
    </row>
    <row r="158" spans="1:14" ht="15">
      <c r="A158" s="262" t="s">
        <v>91</v>
      </c>
      <c r="B158" s="332" t="s">
        <v>371</v>
      </c>
      <c r="C158" s="840">
        <f>_xlfn.CEILING.MATH((C157+50*$Z$1),0.1)</f>
        <v>162.5</v>
      </c>
      <c r="D158" s="841"/>
      <c r="E158" s="840">
        <f>_xlfn.CEILING.MATH((E157+50*$Z$1),0.1)</f>
        <v>221</v>
      </c>
      <c r="F158" s="841"/>
      <c r="G158" s="840">
        <f>_xlfn.CEILING.MATH((G157+50*$Z$1),0.1)</f>
        <v>195</v>
      </c>
      <c r="H158" s="841"/>
      <c r="I158" s="840">
        <f>_xlfn.CEILING.MATH((I157+50*$Z$1),0.1)</f>
        <v>201.5</v>
      </c>
      <c r="J158" s="841"/>
      <c r="K158" s="840">
        <f>_xlfn.CEILING.MATH((K157+50*$Z$1),0.1)</f>
        <v>188.5</v>
      </c>
      <c r="L158" s="841"/>
      <c r="M158" s="23"/>
      <c r="N158" s="22"/>
    </row>
    <row r="159" spans="1:14" ht="15">
      <c r="A159" s="111"/>
      <c r="B159" s="332" t="s">
        <v>80</v>
      </c>
      <c r="C159" s="840">
        <f>_xlfn.CEILING.MATH((C157+25*$Z$1),0.1)</f>
        <v>130</v>
      </c>
      <c r="D159" s="841"/>
      <c r="E159" s="840">
        <f>_xlfn.CEILING.MATH((E157+25*$Z$1),0.1)</f>
        <v>188.5</v>
      </c>
      <c r="F159" s="841"/>
      <c r="G159" s="840">
        <f>_xlfn.CEILING.MATH((G157+25*$Z$1),0.1)</f>
        <v>162.5</v>
      </c>
      <c r="H159" s="841"/>
      <c r="I159" s="840">
        <f>_xlfn.CEILING.MATH((I157+25*$Z$1),0.1)</f>
        <v>169</v>
      </c>
      <c r="J159" s="841"/>
      <c r="K159" s="840">
        <f>_xlfn.CEILING.MATH((K157+25*$Z$1),0.1)</f>
        <v>156</v>
      </c>
      <c r="L159" s="841"/>
      <c r="M159" s="23"/>
      <c r="N159" s="22"/>
    </row>
    <row r="160" spans="1:14" ht="16.5" thickBot="1">
      <c r="A160" s="391" t="s">
        <v>906</v>
      </c>
      <c r="B160" s="468" t="s">
        <v>275</v>
      </c>
      <c r="C160" s="846">
        <f>_xlfn.CEILING.MATH((C159+50*$Z$1),0.1)</f>
        <v>195</v>
      </c>
      <c r="D160" s="848"/>
      <c r="E160" s="846">
        <f>_xlfn.CEILING.MATH((E159+50*$Z$1),0.1)</f>
        <v>253.5</v>
      </c>
      <c r="F160" s="848"/>
      <c r="G160" s="846">
        <f>_xlfn.CEILING.MATH((G159+50*$Z$1),0.1)</f>
        <v>227.5</v>
      </c>
      <c r="H160" s="848"/>
      <c r="I160" s="846">
        <f>_xlfn.CEILING.MATH((I159+50*$Z$1),0.1)</f>
        <v>234</v>
      </c>
      <c r="J160" s="848"/>
      <c r="K160" s="846">
        <f>_xlfn.CEILING.MATH((K159+50*$Z$1),0.1)</f>
        <v>221</v>
      </c>
      <c r="L160" s="848"/>
      <c r="M160" s="23"/>
      <c r="N160" s="22"/>
    </row>
    <row r="161" spans="1:14" ht="15.75" thickTop="1">
      <c r="A161" s="407" t="s">
        <v>372</v>
      </c>
      <c r="B161" s="246"/>
      <c r="C161" s="246"/>
      <c r="D161" s="246"/>
      <c r="E161" s="246"/>
      <c r="F161" s="246"/>
      <c r="G161" s="246"/>
      <c r="H161" s="246"/>
      <c r="I161" s="469"/>
      <c r="J161" s="469"/>
      <c r="K161" s="600"/>
      <c r="L161" s="600"/>
      <c r="M161" s="22"/>
      <c r="N161" s="22"/>
    </row>
    <row r="162" spans="1:25" s="724" customFormat="1" ht="15">
      <c r="A162" s="248" t="s">
        <v>611</v>
      </c>
      <c r="B162" s="248"/>
      <c r="C162" s="248"/>
      <c r="D162" s="248"/>
      <c r="E162" s="248"/>
      <c r="F162" s="248"/>
      <c r="G162" s="24"/>
      <c r="H162" s="24"/>
      <c r="I162" s="44"/>
      <c r="J162" s="44"/>
      <c r="K162" s="128"/>
      <c r="L162" s="128"/>
      <c r="M162" s="22"/>
      <c r="N162" s="22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</row>
    <row r="163" spans="1:14" ht="15.75" thickBot="1">
      <c r="A163" s="53"/>
      <c r="B163" s="54"/>
      <c r="C163" s="48"/>
      <c r="D163" s="48"/>
      <c r="E163" s="48"/>
      <c r="F163" s="48"/>
      <c r="G163" s="48"/>
      <c r="H163" s="48"/>
      <c r="I163" s="48"/>
      <c r="J163" s="48"/>
      <c r="K163" s="128"/>
      <c r="L163" s="128"/>
      <c r="M163" s="22"/>
      <c r="N163" s="22"/>
    </row>
    <row r="164" spans="1:14" ht="23.25" customHeight="1" thickTop="1">
      <c r="A164" s="10" t="s">
        <v>74</v>
      </c>
      <c r="B164" s="11"/>
      <c r="C164" s="420" t="s">
        <v>954</v>
      </c>
      <c r="D164" s="421"/>
      <c r="E164" s="422" t="s">
        <v>975</v>
      </c>
      <c r="F164" s="423"/>
      <c r="G164" s="422" t="s">
        <v>984</v>
      </c>
      <c r="H164" s="423"/>
      <c r="I164" s="422" t="s">
        <v>983</v>
      </c>
      <c r="J164" s="423"/>
      <c r="K164" s="604"/>
      <c r="L164" s="603"/>
      <c r="M164" s="22"/>
      <c r="N164" s="22"/>
    </row>
    <row r="165" spans="1:14" ht="15">
      <c r="A165" s="303" t="s">
        <v>92</v>
      </c>
      <c r="B165" s="101" t="s">
        <v>82</v>
      </c>
      <c r="C165" s="840">
        <f>CEILING(75*$Z$1,0.1)</f>
        <v>97.5</v>
      </c>
      <c r="D165" s="844"/>
      <c r="E165" s="840">
        <f>CEILING(125*$Z$1,0.1)</f>
        <v>162.5</v>
      </c>
      <c r="F165" s="844"/>
      <c r="G165" s="840">
        <f>CEILING(110*$Z$1,0.1)</f>
        <v>143</v>
      </c>
      <c r="H165" s="844"/>
      <c r="I165" s="840">
        <f>CEILING(90*$Z$1,0.1)</f>
        <v>117</v>
      </c>
      <c r="J165" s="844"/>
      <c r="K165" s="588"/>
      <c r="L165" s="590"/>
      <c r="M165" s="22"/>
      <c r="N165" s="22"/>
    </row>
    <row r="166" spans="1:14" ht="15">
      <c r="A166" s="262" t="s">
        <v>91</v>
      </c>
      <c r="B166" s="14" t="s">
        <v>83</v>
      </c>
      <c r="C166" s="840">
        <f>_xlfn.CEILING.MATH((C165+45*$Z$1),0.1)</f>
        <v>156</v>
      </c>
      <c r="D166" s="841"/>
      <c r="E166" s="840">
        <f>_xlfn.CEILING.MATH((E165+45*$Z$1),0.1)</f>
        <v>221</v>
      </c>
      <c r="F166" s="841"/>
      <c r="G166" s="840">
        <f>_xlfn.CEILING.MATH((G165+45*$Z$1),0.1)</f>
        <v>201.5</v>
      </c>
      <c r="H166" s="841"/>
      <c r="I166" s="840">
        <f>_xlfn.CEILING.MATH((I165+45*$Z$1),0.1)</f>
        <v>175.5</v>
      </c>
      <c r="J166" s="841"/>
      <c r="K166" s="588"/>
      <c r="L166" s="590"/>
      <c r="M166" s="22"/>
      <c r="N166" s="22"/>
    </row>
    <row r="167" spans="1:14" ht="15">
      <c r="A167" s="705"/>
      <c r="B167" s="14" t="s">
        <v>78</v>
      </c>
      <c r="C167" s="840">
        <f>CEILING((C165*0.85),0.1)</f>
        <v>82.9</v>
      </c>
      <c r="D167" s="841"/>
      <c r="E167" s="840">
        <f>CEILING((E165*0.85),0.1)</f>
        <v>138.20000000000002</v>
      </c>
      <c r="F167" s="841"/>
      <c r="G167" s="840">
        <f>CEILING((G165*0.85),0.1)</f>
        <v>121.60000000000001</v>
      </c>
      <c r="H167" s="841"/>
      <c r="I167" s="840">
        <f>CEILING((I165*0.85),0.1)</f>
        <v>99.5</v>
      </c>
      <c r="J167" s="841"/>
      <c r="K167" s="588"/>
      <c r="L167" s="590"/>
      <c r="M167" s="22"/>
      <c r="N167" s="22"/>
    </row>
    <row r="168" spans="1:14" ht="15">
      <c r="A168" s="706"/>
      <c r="B168" s="42" t="s">
        <v>107</v>
      </c>
      <c r="C168" s="840">
        <f>CEILING((C165*0.5),0.1)</f>
        <v>48.800000000000004</v>
      </c>
      <c r="D168" s="841"/>
      <c r="E168" s="840">
        <f>CEILING((E165*0.5),0.1)</f>
        <v>81.30000000000001</v>
      </c>
      <c r="F168" s="841"/>
      <c r="G168" s="840">
        <f>CEILING((G165*0.5),0.1)</f>
        <v>71.5</v>
      </c>
      <c r="H168" s="841"/>
      <c r="I168" s="840">
        <f>CEILING((I165*0.5),0.1)</f>
        <v>58.5</v>
      </c>
      <c r="J168" s="841"/>
      <c r="K168" s="588"/>
      <c r="L168" s="590"/>
      <c r="M168" s="22"/>
      <c r="N168" s="22"/>
    </row>
    <row r="169" spans="1:14" ht="15">
      <c r="A169" s="725"/>
      <c r="B169" s="14" t="s">
        <v>75</v>
      </c>
      <c r="C169" s="840">
        <f>_xlfn.CEILING.MATH((C165+20*$Z$1),0.1)</f>
        <v>123.5</v>
      </c>
      <c r="D169" s="841"/>
      <c r="E169" s="840">
        <f>_xlfn.CEILING.MATH((E165+20*$Z$1),0.1)</f>
        <v>188.5</v>
      </c>
      <c r="F169" s="841"/>
      <c r="G169" s="840">
        <f>_xlfn.CEILING.MATH((G165+20*$Z$1),0.1)</f>
        <v>169</v>
      </c>
      <c r="H169" s="841"/>
      <c r="I169" s="840">
        <f>_xlfn.CEILING.MATH((I165+20*$Z$1),0.1)</f>
        <v>143</v>
      </c>
      <c r="J169" s="841"/>
      <c r="K169" s="588"/>
      <c r="L169" s="590"/>
      <c r="M169" s="22"/>
      <c r="N169" s="22"/>
    </row>
    <row r="170" spans="1:14" ht="17.25" customHeight="1" thickBot="1">
      <c r="A170" s="391" t="s">
        <v>906</v>
      </c>
      <c r="B170" s="14" t="s">
        <v>77</v>
      </c>
      <c r="C170" s="840">
        <f>_xlfn.CEILING.MATH((C169+50*$Z$1),0.1)</f>
        <v>188.5</v>
      </c>
      <c r="D170" s="841"/>
      <c r="E170" s="840">
        <f>_xlfn.CEILING.MATH((E169+50*$Z$1),0.1)</f>
        <v>253.5</v>
      </c>
      <c r="F170" s="841"/>
      <c r="G170" s="840">
        <f>_xlfn.CEILING.MATH((G169+50*$Z$1),0.1)</f>
        <v>234</v>
      </c>
      <c r="H170" s="841"/>
      <c r="I170" s="840">
        <f>_xlfn.CEILING.MATH((I169+50*$Z$1),0.1)</f>
        <v>208</v>
      </c>
      <c r="J170" s="841"/>
      <c r="K170" s="588"/>
      <c r="L170" s="590"/>
      <c r="M170" s="22"/>
      <c r="N170" s="22"/>
    </row>
    <row r="171" spans="1:14" ht="21.75" customHeight="1" thickTop="1">
      <c r="A171" s="1022"/>
      <c r="B171" s="1022"/>
      <c r="C171" s="1022"/>
      <c r="D171" s="1022"/>
      <c r="E171" s="1022"/>
      <c r="F171" s="1022"/>
      <c r="G171" s="1022"/>
      <c r="H171" s="1022"/>
      <c r="I171" s="247"/>
      <c r="J171" s="247"/>
      <c r="K171" s="128"/>
      <c r="L171" s="128"/>
      <c r="M171" s="22"/>
      <c r="N171" s="22"/>
    </row>
    <row r="172" spans="1:14" ht="18" customHeight="1">
      <c r="A172" s="750" t="s">
        <v>96</v>
      </c>
      <c r="B172" s="31" t="s">
        <v>368</v>
      </c>
      <c r="C172" s="840">
        <f>CEILING(95*$Z$1,0.1)</f>
        <v>123.5</v>
      </c>
      <c r="D172" s="844"/>
      <c r="E172" s="840">
        <f>CEILING(145*$Z$1,0.1)</f>
        <v>188.5</v>
      </c>
      <c r="F172" s="844"/>
      <c r="G172" s="840">
        <f>CEILING(130*$Z$1,0.1)</f>
        <v>169</v>
      </c>
      <c r="H172" s="844"/>
      <c r="I172" s="840">
        <f>CEILING(110*$Z$1,0.1)</f>
        <v>143</v>
      </c>
      <c r="J172" s="844"/>
      <c r="K172" s="588"/>
      <c r="L172" s="590"/>
      <c r="M172" s="22"/>
      <c r="N172" s="22"/>
    </row>
    <row r="173" spans="1:13" ht="15.75" customHeight="1">
      <c r="A173" s="267" t="s">
        <v>91</v>
      </c>
      <c r="B173" s="31" t="s">
        <v>369</v>
      </c>
      <c r="C173" s="840">
        <f>_xlfn.CEILING.MATH((C172+50*$Z$1),0.1)</f>
        <v>188.5</v>
      </c>
      <c r="D173" s="841"/>
      <c r="E173" s="840">
        <f>_xlfn.CEILING.MATH((E172+50*$Z$1),0.1)</f>
        <v>253.5</v>
      </c>
      <c r="F173" s="841"/>
      <c r="G173" s="840">
        <f>_xlfn.CEILING.MATH((G172+50*$Z$1),0.1)</f>
        <v>234</v>
      </c>
      <c r="H173" s="841"/>
      <c r="I173" s="840">
        <f>_xlfn.CEILING.MATH((I172+50*$Z$1),0.1)</f>
        <v>208</v>
      </c>
      <c r="J173" s="841"/>
      <c r="K173" s="588"/>
      <c r="L173" s="590"/>
      <c r="M173" s="244"/>
    </row>
    <row r="174" spans="1:13" ht="15">
      <c r="A174" s="446"/>
      <c r="B174" s="34" t="s">
        <v>78</v>
      </c>
      <c r="C174" s="840">
        <f>CEILING((C172*0.85),0.1)</f>
        <v>105</v>
      </c>
      <c r="D174" s="841"/>
      <c r="E174" s="840">
        <f>CEILING((E172*0.85),0.1)</f>
        <v>160.3</v>
      </c>
      <c r="F174" s="841"/>
      <c r="G174" s="840">
        <f>CEILING((G172*0.85),0.1)</f>
        <v>143.70000000000002</v>
      </c>
      <c r="H174" s="841"/>
      <c r="I174" s="840">
        <f>CEILING((I172*0.85),0.1)</f>
        <v>121.60000000000001</v>
      </c>
      <c r="J174" s="841"/>
      <c r="K174" s="588"/>
      <c r="L174" s="590"/>
      <c r="M174" s="244"/>
    </row>
    <row r="175" spans="1:13" ht="15">
      <c r="A175" s="446"/>
      <c r="B175" s="34" t="s">
        <v>107</v>
      </c>
      <c r="C175" s="840">
        <f>CEILING((C172*0.5),0.1)</f>
        <v>61.800000000000004</v>
      </c>
      <c r="D175" s="841"/>
      <c r="E175" s="840">
        <f>CEILING((E172*0.5),0.1)</f>
        <v>94.30000000000001</v>
      </c>
      <c r="F175" s="841"/>
      <c r="G175" s="840">
        <f>CEILING((G172*0.5),0.1)</f>
        <v>84.5</v>
      </c>
      <c r="H175" s="841"/>
      <c r="I175" s="840">
        <f>CEILING((I172*0.5),0.1)</f>
        <v>71.5</v>
      </c>
      <c r="J175" s="841"/>
      <c r="K175" s="588"/>
      <c r="L175" s="590"/>
      <c r="M175" s="244"/>
    </row>
    <row r="176" spans="1:13" ht="15">
      <c r="A176" s="267"/>
      <c r="B176" s="31" t="s">
        <v>180</v>
      </c>
      <c r="C176" s="840">
        <f>_xlfn.CEILING.MATH((C172+20*$Z$1),0.1)</f>
        <v>149.5</v>
      </c>
      <c r="D176" s="841"/>
      <c r="E176" s="840">
        <f>_xlfn.CEILING.MATH((E172+20*$Z$1),0.1)</f>
        <v>214.5</v>
      </c>
      <c r="F176" s="841"/>
      <c r="G176" s="840">
        <f>_xlfn.CEILING.MATH((G172+20*$Z$1),0.1)</f>
        <v>195</v>
      </c>
      <c r="H176" s="841"/>
      <c r="I176" s="840">
        <f>_xlfn.CEILING.MATH((I172+20*$Z$1),0.1)</f>
        <v>169</v>
      </c>
      <c r="J176" s="841"/>
      <c r="K176" s="588"/>
      <c r="L176" s="590"/>
      <c r="M176" s="244"/>
    </row>
    <row r="177" spans="1:13" ht="15">
      <c r="A177" s="447"/>
      <c r="B177" s="31" t="s">
        <v>370</v>
      </c>
      <c r="C177" s="840">
        <f>_xlfn.CEILING.MATH((C169+55*$Z$1),0.1)</f>
        <v>195</v>
      </c>
      <c r="D177" s="841"/>
      <c r="E177" s="840">
        <f>_xlfn.CEILING.MATH((E169+55*$Z$1),0.1)</f>
        <v>260</v>
      </c>
      <c r="F177" s="841"/>
      <c r="G177" s="840">
        <f>_xlfn.CEILING.MATH((G169+55*$Z$1),0.1)</f>
        <v>240.5</v>
      </c>
      <c r="H177" s="841"/>
      <c r="I177" s="840">
        <f>_xlfn.CEILING.MATH((I169+55*$Z$1),0.1)</f>
        <v>214.5</v>
      </c>
      <c r="J177" s="841"/>
      <c r="K177" s="588"/>
      <c r="L177" s="590"/>
      <c r="M177" s="244"/>
    </row>
    <row r="178" spans="1:13" ht="18" customHeight="1" thickBot="1">
      <c r="A178" s="391" t="s">
        <v>909</v>
      </c>
      <c r="B178" s="143" t="s">
        <v>438</v>
      </c>
      <c r="C178" s="846">
        <f>CEILING(465*$Z$1,0.1)</f>
        <v>604.5</v>
      </c>
      <c r="D178" s="848"/>
      <c r="E178" s="846">
        <f>CEILING(525*$Z$1,0.1)</f>
        <v>682.5</v>
      </c>
      <c r="F178" s="848"/>
      <c r="G178" s="846">
        <f>CEILING(495*$Z$1,0.1)</f>
        <v>643.5</v>
      </c>
      <c r="H178" s="848"/>
      <c r="I178" s="846">
        <f>CEILING(495*$Z$1,0.1)</f>
        <v>643.5</v>
      </c>
      <c r="J178" s="848"/>
      <c r="K178" s="588"/>
      <c r="L178" s="590"/>
      <c r="M178" s="244"/>
    </row>
    <row r="179" spans="1:13" ht="15.75" thickTop="1">
      <c r="A179" s="209" t="s">
        <v>97</v>
      </c>
      <c r="B179" s="209"/>
      <c r="C179" s="209"/>
      <c r="D179" s="209"/>
      <c r="E179" s="209"/>
      <c r="F179" s="209"/>
      <c r="G179" s="209"/>
      <c r="H179" s="209"/>
      <c r="I179" s="209"/>
      <c r="J179" s="209"/>
      <c r="K179" s="128"/>
      <c r="L179" s="128"/>
      <c r="M179" s="244"/>
    </row>
    <row r="180" spans="1:13" ht="15">
      <c r="A180" s="209" t="s">
        <v>609</v>
      </c>
      <c r="B180" s="209"/>
      <c r="C180" s="209"/>
      <c r="D180" s="209"/>
      <c r="E180" s="209"/>
      <c r="F180" s="209"/>
      <c r="G180" s="209"/>
      <c r="H180" s="209"/>
      <c r="I180" s="209"/>
      <c r="J180" s="209"/>
      <c r="K180" s="522"/>
      <c r="L180" s="522"/>
      <c r="M180" s="244"/>
    </row>
    <row r="181" spans="1:13" ht="15">
      <c r="A181" s="209" t="s">
        <v>610</v>
      </c>
      <c r="B181" s="60"/>
      <c r="C181" s="3"/>
      <c r="D181" s="3"/>
      <c r="E181" s="3"/>
      <c r="F181" s="3"/>
      <c r="G181" s="3"/>
      <c r="H181" s="3"/>
      <c r="I181" s="3"/>
      <c r="J181" s="3"/>
      <c r="K181" s="522"/>
      <c r="L181" s="522"/>
      <c r="M181" s="244"/>
    </row>
    <row r="182" spans="1:25" s="724" customFormat="1" ht="15">
      <c r="A182" s="248" t="s">
        <v>608</v>
      </c>
      <c r="B182" s="60"/>
      <c r="C182" s="3"/>
      <c r="D182" s="3"/>
      <c r="E182" s="3"/>
      <c r="F182" s="3"/>
      <c r="G182" s="3"/>
      <c r="H182" s="3"/>
      <c r="I182" s="3"/>
      <c r="J182" s="3"/>
      <c r="K182" s="522"/>
      <c r="L182" s="522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</row>
    <row r="183" spans="1:13" ht="15.75" thickBot="1">
      <c r="A183" s="61"/>
      <c r="B183" s="62"/>
      <c r="C183" s="2"/>
      <c r="D183" s="2"/>
      <c r="E183" s="2"/>
      <c r="F183" s="2"/>
      <c r="G183" s="2"/>
      <c r="H183" s="2"/>
      <c r="I183" s="891"/>
      <c r="J183" s="891"/>
      <c r="K183" s="128"/>
      <c r="L183" s="128"/>
      <c r="M183" s="244"/>
    </row>
    <row r="184" spans="1:13" ht="24.75" customHeight="1" thickTop="1">
      <c r="A184" s="286" t="s">
        <v>74</v>
      </c>
      <c r="B184" s="282"/>
      <c r="C184" s="420" t="s">
        <v>954</v>
      </c>
      <c r="D184" s="421"/>
      <c r="E184" s="422" t="s">
        <v>952</v>
      </c>
      <c r="F184" s="423"/>
      <c r="G184" s="422" t="s">
        <v>953</v>
      </c>
      <c r="H184" s="423"/>
      <c r="I184" s="422" t="s">
        <v>976</v>
      </c>
      <c r="J184" s="423"/>
      <c r="K184" s="422" t="s">
        <v>983</v>
      </c>
      <c r="L184" s="599"/>
      <c r="M184" s="625"/>
    </row>
    <row r="185" spans="1:13" ht="15">
      <c r="A185" s="313" t="s">
        <v>98</v>
      </c>
      <c r="B185" s="171" t="s">
        <v>99</v>
      </c>
      <c r="C185" s="840">
        <f>CEILING(56*$Z$1,0.1)</f>
        <v>72.8</v>
      </c>
      <c r="D185" s="844"/>
      <c r="E185" s="840">
        <f>CEILING(100*$Z$1,0.1)</f>
        <v>130</v>
      </c>
      <c r="F185" s="844"/>
      <c r="G185" s="840">
        <f>CEILING(67*$Z$1,0.1)</f>
        <v>87.10000000000001</v>
      </c>
      <c r="H185" s="844"/>
      <c r="I185" s="840">
        <f>CEILING(73*$Z$1,0.1)</f>
        <v>94.9</v>
      </c>
      <c r="J185" s="844"/>
      <c r="K185" s="840">
        <f>CEILING(65*$Z$1,0.1)</f>
        <v>84.5</v>
      </c>
      <c r="L185" s="844"/>
      <c r="M185" s="625"/>
    </row>
    <row r="186" spans="1:13" ht="15">
      <c r="A186" s="314" t="s">
        <v>91</v>
      </c>
      <c r="B186" s="12" t="s">
        <v>100</v>
      </c>
      <c r="C186" s="840">
        <f>_xlfn.CEILING.MATH((C185+30*$Z$1),0.1)</f>
        <v>111.80000000000001</v>
      </c>
      <c r="D186" s="841"/>
      <c r="E186" s="840">
        <f>_xlfn.CEILING.MATH((E185+30*$Z$1),0.1)</f>
        <v>169</v>
      </c>
      <c r="F186" s="841"/>
      <c r="G186" s="840">
        <f>_xlfn.CEILING.MATH((G185+30*$Z$1),0.1)</f>
        <v>126.10000000000001</v>
      </c>
      <c r="H186" s="841"/>
      <c r="I186" s="840">
        <f>_xlfn.CEILING.MATH((I185+30*$Z$1),0.1)</f>
        <v>133.9</v>
      </c>
      <c r="J186" s="841"/>
      <c r="K186" s="840">
        <f>_xlfn.CEILING.MATH((K185+30*$Z$1),0.1)</f>
        <v>123.5</v>
      </c>
      <c r="L186" s="841"/>
      <c r="M186" s="625"/>
    </row>
    <row r="187" spans="1:13" ht="15">
      <c r="A187" s="314"/>
      <c r="B187" s="14" t="s">
        <v>101</v>
      </c>
      <c r="C187" s="840">
        <f>CEILING((C185*0.85),0.1)</f>
        <v>61.900000000000006</v>
      </c>
      <c r="D187" s="841"/>
      <c r="E187" s="840">
        <f>CEILING((E185*0.85),0.1)</f>
        <v>110.5</v>
      </c>
      <c r="F187" s="841"/>
      <c r="G187" s="840">
        <f>CEILING((G185*0.85),0.1)</f>
        <v>74.10000000000001</v>
      </c>
      <c r="H187" s="841"/>
      <c r="I187" s="840">
        <f>CEILING((I185*0.85),0.1)</f>
        <v>80.7</v>
      </c>
      <c r="J187" s="841"/>
      <c r="K187" s="840">
        <f>CEILING((K185*0.85),0.1)</f>
        <v>71.9</v>
      </c>
      <c r="L187" s="841"/>
      <c r="M187" s="625"/>
    </row>
    <row r="188" spans="1:14" ht="15">
      <c r="A188" s="315"/>
      <c r="B188" s="42" t="s">
        <v>107</v>
      </c>
      <c r="C188" s="842">
        <v>0</v>
      </c>
      <c r="D188" s="843"/>
      <c r="E188" s="842">
        <v>0</v>
      </c>
      <c r="F188" s="843"/>
      <c r="G188" s="842">
        <v>0</v>
      </c>
      <c r="H188" s="843"/>
      <c r="I188" s="842">
        <v>0</v>
      </c>
      <c r="J188" s="843"/>
      <c r="K188" s="842">
        <v>0</v>
      </c>
      <c r="L188" s="843"/>
      <c r="M188" s="23"/>
      <c r="N188" s="22"/>
    </row>
    <row r="189" spans="1:14" ht="15">
      <c r="A189" s="263"/>
      <c r="B189" s="12" t="s">
        <v>102</v>
      </c>
      <c r="C189" s="840">
        <f>_xlfn.CEILING.MATH((C185+10*$Z$1),0.1)</f>
        <v>85.80000000000001</v>
      </c>
      <c r="D189" s="841"/>
      <c r="E189" s="840">
        <f>_xlfn.CEILING.MATH((E185+10*$Z$1),0.1)</f>
        <v>143</v>
      </c>
      <c r="F189" s="841"/>
      <c r="G189" s="840">
        <f>_xlfn.CEILING.MATH((G185+10*$Z$1),0.1)</f>
        <v>100.10000000000001</v>
      </c>
      <c r="H189" s="841"/>
      <c r="I189" s="840">
        <f>_xlfn.CEILING.MATH((I185+10*$Z$1),0.1)</f>
        <v>107.9</v>
      </c>
      <c r="J189" s="841"/>
      <c r="K189" s="840">
        <f>_xlfn.CEILING.MATH((K185+10*$Z$1),0.1)</f>
        <v>97.5</v>
      </c>
      <c r="L189" s="841"/>
      <c r="M189" s="23"/>
      <c r="N189" s="22"/>
    </row>
    <row r="190" spans="1:14" ht="15">
      <c r="A190" s="316"/>
      <c r="B190" s="12" t="s">
        <v>103</v>
      </c>
      <c r="C190" s="840">
        <f>_xlfn.CEILING.MATH((C189+30*$Z$1),0.1)</f>
        <v>124.80000000000001</v>
      </c>
      <c r="D190" s="841"/>
      <c r="E190" s="840">
        <f>_xlfn.CEILING.MATH((E189+30*$Z$1),0.1)</f>
        <v>182</v>
      </c>
      <c r="F190" s="841"/>
      <c r="G190" s="840">
        <f>_xlfn.CEILING.MATH((G189+30*$Z$1),0.1)</f>
        <v>139.1</v>
      </c>
      <c r="H190" s="841"/>
      <c r="I190" s="840">
        <f>_xlfn.CEILING.MATH((I189+30*$Z$1),0.1)</f>
        <v>146.9</v>
      </c>
      <c r="J190" s="841"/>
      <c r="K190" s="840">
        <f>_xlfn.CEILING.MATH((K189+30*$Z$1),0.1)</f>
        <v>136.5</v>
      </c>
      <c r="L190" s="841"/>
      <c r="M190" s="349"/>
      <c r="N190" s="226"/>
    </row>
    <row r="191" spans="1:14" ht="16.5" customHeight="1">
      <c r="A191" s="316"/>
      <c r="B191" s="14" t="s">
        <v>75</v>
      </c>
      <c r="C191" s="840">
        <f>_xlfn.CEILING.MATH((C185+20*$Z$1),0.1)</f>
        <v>98.80000000000001</v>
      </c>
      <c r="D191" s="841"/>
      <c r="E191" s="840">
        <f>_xlfn.CEILING.MATH((E185+20*$Z$1),0.1)</f>
        <v>156</v>
      </c>
      <c r="F191" s="841"/>
      <c r="G191" s="840">
        <f>_xlfn.CEILING.MATH((G185+20*$Z$1),0.1)</f>
        <v>113.10000000000001</v>
      </c>
      <c r="H191" s="841"/>
      <c r="I191" s="840">
        <f>_xlfn.CEILING.MATH((I185+20*$Z$1),0.1)</f>
        <v>120.9</v>
      </c>
      <c r="J191" s="841"/>
      <c r="K191" s="840">
        <f>_xlfn.CEILING.MATH((K185+20*$Z$1),0.1)</f>
        <v>110.5</v>
      </c>
      <c r="L191" s="841"/>
      <c r="M191" s="349"/>
      <c r="N191" s="226"/>
    </row>
    <row r="192" spans="1:14" ht="16.5" customHeight="1">
      <c r="A192" s="316"/>
      <c r="B192" s="12" t="s">
        <v>77</v>
      </c>
      <c r="C192" s="840">
        <f>_xlfn.CEILING.MATH((C191+40*$Z$1),0.1)</f>
        <v>150.8</v>
      </c>
      <c r="D192" s="841"/>
      <c r="E192" s="840">
        <f>_xlfn.CEILING.MATH((E191+40*$Z$1),0.1)</f>
        <v>208</v>
      </c>
      <c r="F192" s="841"/>
      <c r="G192" s="840">
        <f>_xlfn.CEILING.MATH((G191+40*$Z$1),0.1)</f>
        <v>165.10000000000002</v>
      </c>
      <c r="H192" s="841"/>
      <c r="I192" s="840">
        <f>_xlfn.CEILING.MATH((I191+40*$Z$1),0.1)</f>
        <v>172.9</v>
      </c>
      <c r="J192" s="841"/>
      <c r="K192" s="840">
        <f>_xlfn.CEILING.MATH((K191+40*$Z$1),0.1)</f>
        <v>162.5</v>
      </c>
      <c r="L192" s="841"/>
      <c r="M192" s="23"/>
      <c r="N192" s="22"/>
    </row>
    <row r="193" spans="1:25" ht="16.5" customHeight="1">
      <c r="A193" s="316"/>
      <c r="B193" s="333" t="s">
        <v>621</v>
      </c>
      <c r="C193" s="840">
        <f>_xlfn.CEILING.MATH((C185+25*$Z$1),0.1)</f>
        <v>105.30000000000001</v>
      </c>
      <c r="D193" s="841"/>
      <c r="E193" s="840">
        <f>_xlfn.CEILING.MATH((E185+25*$Z$1),0.1)</f>
        <v>162.5</v>
      </c>
      <c r="F193" s="841"/>
      <c r="G193" s="840">
        <f>_xlfn.CEILING.MATH((G185+25*$Z$1),0.1)</f>
        <v>119.60000000000001</v>
      </c>
      <c r="H193" s="841"/>
      <c r="I193" s="840">
        <f>_xlfn.CEILING.MATH((I185+25*$Z$1),0.1)</f>
        <v>127.4</v>
      </c>
      <c r="J193" s="841"/>
      <c r="K193" s="840">
        <f>_xlfn.CEILING.MATH((K185+25*$Z$1),0.1)</f>
        <v>117</v>
      </c>
      <c r="L193" s="841"/>
      <c r="M193" s="625"/>
      <c r="X193"/>
      <c r="Y193"/>
    </row>
    <row r="194" spans="1:25" ht="15">
      <c r="A194" s="317"/>
      <c r="B194" s="333" t="s">
        <v>620</v>
      </c>
      <c r="C194" s="840">
        <f>_xlfn.CEILING.MATH((C193+50*$Z$1),0.1)</f>
        <v>170.3</v>
      </c>
      <c r="D194" s="841"/>
      <c r="E194" s="840">
        <f>_xlfn.CEILING.MATH((E193+50*$Z$1),0.1)</f>
        <v>227.5</v>
      </c>
      <c r="F194" s="841"/>
      <c r="G194" s="840">
        <f>_xlfn.CEILING.MATH((G193+50*$Z$1),0.1)</f>
        <v>184.60000000000002</v>
      </c>
      <c r="H194" s="841"/>
      <c r="I194" s="840">
        <f>_xlfn.CEILING.MATH((I193+50*$Z$1),0.1)</f>
        <v>192.4</v>
      </c>
      <c r="J194" s="841"/>
      <c r="K194" s="840">
        <f>_xlfn.CEILING.MATH((K193+50*$Z$1),0.1)</f>
        <v>182</v>
      </c>
      <c r="L194" s="841"/>
      <c r="M194" s="625"/>
      <c r="X194"/>
      <c r="Y194"/>
    </row>
    <row r="195" spans="1:25" ht="15">
      <c r="A195" s="317"/>
      <c r="B195" s="14" t="s">
        <v>94</v>
      </c>
      <c r="C195" s="840">
        <f>_xlfn.CEILING.MATH((C185+40*$Z$1),0.1)</f>
        <v>124.80000000000001</v>
      </c>
      <c r="D195" s="841"/>
      <c r="E195" s="840">
        <f>_xlfn.CEILING.MATH((E185+40*$Z$1),0.1)</f>
        <v>182</v>
      </c>
      <c r="F195" s="841"/>
      <c r="G195" s="840">
        <f>_xlfn.CEILING.MATH((G185+40*$Z$1),0.1)</f>
        <v>139.1</v>
      </c>
      <c r="H195" s="841"/>
      <c r="I195" s="840">
        <f>_xlfn.CEILING.MATH((I185+40*$Z$1),0.1)</f>
        <v>146.9</v>
      </c>
      <c r="J195" s="841"/>
      <c r="K195" s="840">
        <f>_xlfn.CEILING.MATH((K185+40*$Z$1),0.1)</f>
        <v>136.5</v>
      </c>
      <c r="L195" s="841"/>
      <c r="M195" s="625"/>
      <c r="X195"/>
      <c r="Y195"/>
    </row>
    <row r="196" spans="1:25" ht="15">
      <c r="A196" s="317"/>
      <c r="B196" s="14" t="s">
        <v>95</v>
      </c>
      <c r="C196" s="840">
        <f>_xlfn.CEILING.MATH((C195+50*$Z$1),0.1)</f>
        <v>189.8</v>
      </c>
      <c r="D196" s="841"/>
      <c r="E196" s="840">
        <f>_xlfn.CEILING.MATH((E195+50*$Z$1),0.1)</f>
        <v>247</v>
      </c>
      <c r="F196" s="841"/>
      <c r="G196" s="840">
        <f>_xlfn.CEILING.MATH((G195+50*$Z$1),0.1)</f>
        <v>204.10000000000002</v>
      </c>
      <c r="H196" s="841"/>
      <c r="I196" s="840">
        <f>_xlfn.CEILING.MATH((I195+50*$Z$1),0.1)</f>
        <v>211.9</v>
      </c>
      <c r="J196" s="841"/>
      <c r="K196" s="840">
        <f>_xlfn.CEILING.MATH((K195+50*$Z$1),0.1)</f>
        <v>201.5</v>
      </c>
      <c r="L196" s="841"/>
      <c r="M196" s="625"/>
      <c r="X196"/>
      <c r="Y196"/>
    </row>
    <row r="197" spans="1:23" s="724" customFormat="1" ht="15">
      <c r="A197" s="317"/>
      <c r="B197" s="14" t="s">
        <v>622</v>
      </c>
      <c r="C197" s="840">
        <f>CEILING(295*$Z$1,0.1)</f>
        <v>383.5</v>
      </c>
      <c r="D197" s="841"/>
      <c r="E197" s="840">
        <f>CEILING(525*$Z$1,0.1)</f>
        <v>682.5</v>
      </c>
      <c r="F197" s="841"/>
      <c r="G197" s="840">
        <f>CEILING(425*$Z$1,0.1)</f>
        <v>552.5</v>
      </c>
      <c r="H197" s="841"/>
      <c r="I197" s="840">
        <f>CEILING(425*$Z$1,0.1)</f>
        <v>552.5</v>
      </c>
      <c r="J197" s="841"/>
      <c r="K197" s="840">
        <f>CEILING(315*$Z$1,0.1)</f>
        <v>409.5</v>
      </c>
      <c r="L197" s="841"/>
      <c r="M197" s="625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</row>
    <row r="198" spans="1:25" ht="16.5" thickBot="1">
      <c r="A198" s="391" t="s">
        <v>906</v>
      </c>
      <c r="B198" s="15" t="s">
        <v>623</v>
      </c>
      <c r="C198" s="872">
        <v>0.15</v>
      </c>
      <c r="D198" s="873"/>
      <c r="E198" s="872">
        <v>0.1</v>
      </c>
      <c r="F198" s="873"/>
      <c r="G198" s="872">
        <v>0.1</v>
      </c>
      <c r="H198" s="873"/>
      <c r="I198" s="872">
        <v>0.15</v>
      </c>
      <c r="J198" s="873"/>
      <c r="K198" s="874">
        <v>0.1</v>
      </c>
      <c r="L198" s="875"/>
      <c r="M198" s="625"/>
      <c r="X198"/>
      <c r="Y198"/>
    </row>
    <row r="199" spans="1:25" ht="15.75" thickTop="1">
      <c r="A199" s="939" t="s">
        <v>445</v>
      </c>
      <c r="B199" s="939"/>
      <c r="C199" s="939"/>
      <c r="D199" s="939"/>
      <c r="E199" s="939"/>
      <c r="F199" s="939"/>
      <c r="G199" s="939"/>
      <c r="H199" s="939"/>
      <c r="I199" s="940"/>
      <c r="J199" s="940"/>
      <c r="K199" s="128"/>
      <c r="L199" s="128"/>
      <c r="M199" s="271"/>
      <c r="X199"/>
      <c r="Y199"/>
    </row>
    <row r="200" spans="1:25" ht="15">
      <c r="A200" s="209" t="s">
        <v>446</v>
      </c>
      <c r="B200" s="209"/>
      <c r="C200" s="209"/>
      <c r="D200" s="209"/>
      <c r="E200" s="209"/>
      <c r="F200" s="209"/>
      <c r="G200" s="209"/>
      <c r="H200" s="209"/>
      <c r="I200" s="25"/>
      <c r="J200" s="25"/>
      <c r="K200" s="128"/>
      <c r="L200" s="128"/>
      <c r="M200" s="271"/>
      <c r="X200"/>
      <c r="Y200"/>
    </row>
    <row r="201" spans="1:25" ht="15">
      <c r="A201" s="209" t="s">
        <v>448</v>
      </c>
      <c r="B201" s="209"/>
      <c r="C201" s="209"/>
      <c r="D201" s="209"/>
      <c r="E201" s="209"/>
      <c r="F201" s="209"/>
      <c r="G201" s="209"/>
      <c r="H201" s="209"/>
      <c r="I201" s="214"/>
      <c r="J201" s="214"/>
      <c r="K201" s="128"/>
      <c r="L201" s="128"/>
      <c r="M201" s="244"/>
      <c r="X201"/>
      <c r="Y201"/>
    </row>
    <row r="202" spans="1:25" ht="15">
      <c r="A202" s="209" t="s">
        <v>447</v>
      </c>
      <c r="B202" s="209"/>
      <c r="C202" s="209"/>
      <c r="D202" s="209"/>
      <c r="E202" s="209"/>
      <c r="F202" s="209"/>
      <c r="G202" s="209"/>
      <c r="H202" s="209"/>
      <c r="I202" s="214"/>
      <c r="J202" s="214"/>
      <c r="K202" s="128"/>
      <c r="L202" s="128"/>
      <c r="M202" s="244"/>
      <c r="X202"/>
      <c r="Y202"/>
    </row>
    <row r="203" spans="1:14" ht="14.25" customHeight="1" hidden="1">
      <c r="A203" s="248" t="s">
        <v>454</v>
      </c>
      <c r="B203" s="248"/>
      <c r="C203" s="248"/>
      <c r="D203" s="248"/>
      <c r="E203" s="248"/>
      <c r="F203" s="248"/>
      <c r="G203" s="24"/>
      <c r="H203" s="24"/>
      <c r="I203" s="25"/>
      <c r="J203" s="25"/>
      <c r="K203" s="505"/>
      <c r="L203" s="505"/>
      <c r="M203" s="66"/>
      <c r="N203" s="66"/>
    </row>
    <row r="204" spans="1:14" ht="14.25" customHeight="1" hidden="1">
      <c r="A204" s="248" t="s">
        <v>455</v>
      </c>
      <c r="B204" s="248"/>
      <c r="C204" s="248"/>
      <c r="D204" s="248"/>
      <c r="E204" s="248"/>
      <c r="F204" s="248"/>
      <c r="G204" s="24"/>
      <c r="H204" s="24"/>
      <c r="I204" s="25"/>
      <c r="J204" s="25"/>
      <c r="K204" s="505"/>
      <c r="L204" s="505"/>
      <c r="M204" s="66"/>
      <c r="N204" s="66"/>
    </row>
    <row r="205" spans="1:25" s="724" customFormat="1" ht="14.25" customHeight="1">
      <c r="A205" s="248" t="s">
        <v>624</v>
      </c>
      <c r="B205" s="248"/>
      <c r="C205" s="248"/>
      <c r="D205" s="248"/>
      <c r="E205" s="248"/>
      <c r="F205" s="248"/>
      <c r="G205" s="24"/>
      <c r="H205" s="24"/>
      <c r="I205" s="25"/>
      <c r="J205" s="25"/>
      <c r="K205" s="505"/>
      <c r="L205" s="505"/>
      <c r="M205" s="66"/>
      <c r="N205" s="66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</row>
    <row r="206" spans="1:14" ht="17.25" customHeight="1" thickBot="1">
      <c r="A206" s="409"/>
      <c r="B206" s="409"/>
      <c r="C206" s="409"/>
      <c r="D206" s="409"/>
      <c r="E206" s="611"/>
      <c r="F206" s="611"/>
      <c r="G206" s="611"/>
      <c r="H206" s="611"/>
      <c r="I206" s="130"/>
      <c r="J206" s="130"/>
      <c r="K206" s="128"/>
      <c r="L206" s="505"/>
      <c r="M206" s="66"/>
      <c r="N206" s="66"/>
    </row>
    <row r="207" spans="1:13" ht="25.5" customHeight="1" thickTop="1">
      <c r="A207" s="64" t="s">
        <v>74</v>
      </c>
      <c r="B207" s="75"/>
      <c r="C207" s="889" t="s">
        <v>665</v>
      </c>
      <c r="D207" s="890"/>
      <c r="E207" s="858" t="s">
        <v>716</v>
      </c>
      <c r="F207" s="859"/>
      <c r="G207" s="860" t="s">
        <v>721</v>
      </c>
      <c r="H207" s="861"/>
      <c r="I207" s="860" t="s">
        <v>668</v>
      </c>
      <c r="J207" s="862"/>
      <c r="K207" s="523"/>
      <c r="L207" s="490"/>
      <c r="M207" s="271"/>
    </row>
    <row r="208" spans="1:13" ht="15">
      <c r="A208" s="307" t="s">
        <v>106</v>
      </c>
      <c r="B208" s="171" t="s">
        <v>82</v>
      </c>
      <c r="C208" s="840">
        <f>CEILING(115*$Z$1,0.1)</f>
        <v>149.5</v>
      </c>
      <c r="D208" s="844"/>
      <c r="E208" s="840">
        <f>CEILING(200*$Z$1,0.1)</f>
        <v>260</v>
      </c>
      <c r="F208" s="844"/>
      <c r="G208" s="840">
        <f>CEILING(150*$Z$1,0.1)</f>
        <v>195</v>
      </c>
      <c r="H208" s="844"/>
      <c r="I208" s="840">
        <f>CEILING(120*$Z$1,0.1)</f>
        <v>156</v>
      </c>
      <c r="J208" s="844"/>
      <c r="K208" s="521"/>
      <c r="L208" s="440"/>
      <c r="M208" s="271"/>
    </row>
    <row r="209" spans="1:13" ht="15">
      <c r="A209" s="350" t="s">
        <v>76</v>
      </c>
      <c r="B209" s="14" t="s">
        <v>83</v>
      </c>
      <c r="C209" s="840">
        <f>_xlfn.CEILING.MATH((C208+45*$Z$1),0.1)</f>
        <v>208</v>
      </c>
      <c r="D209" s="841"/>
      <c r="E209" s="840">
        <f>_xlfn.CEILING.MATH((E208+45*$Z$1),0.1)</f>
        <v>318.5</v>
      </c>
      <c r="F209" s="841"/>
      <c r="G209" s="840">
        <f>_xlfn.CEILING.MATH((G208+45*$Z$1),0.1)</f>
        <v>253.5</v>
      </c>
      <c r="H209" s="841"/>
      <c r="I209" s="840">
        <f>_xlfn.CEILING.MATH((I208+45*$Z$1),0.1)</f>
        <v>214.5</v>
      </c>
      <c r="J209" s="841"/>
      <c r="K209" s="521"/>
      <c r="L209" s="440"/>
      <c r="M209" s="271"/>
    </row>
    <row r="210" spans="1:13" ht="15">
      <c r="A210" s="216"/>
      <c r="B210" s="14" t="s">
        <v>78</v>
      </c>
      <c r="C210" s="840">
        <f>CEILING((C208*0.85),0.1)</f>
        <v>127.10000000000001</v>
      </c>
      <c r="D210" s="841"/>
      <c r="E210" s="840">
        <f>CEILING((E208*0.85),0.1)</f>
        <v>221</v>
      </c>
      <c r="F210" s="841"/>
      <c r="G210" s="840">
        <f>CEILING((G208*0.85),0.1)</f>
        <v>165.8</v>
      </c>
      <c r="H210" s="841"/>
      <c r="I210" s="840">
        <f>CEILING((I208*0.85),0.1)</f>
        <v>132.6</v>
      </c>
      <c r="J210" s="841"/>
      <c r="K210" s="521"/>
      <c r="L210" s="440"/>
      <c r="M210" s="271"/>
    </row>
    <row r="211" spans="1:13" ht="15">
      <c r="A211" s="243"/>
      <c r="B211" s="14" t="s">
        <v>107</v>
      </c>
      <c r="C211" s="840">
        <f>CEILING((C208*0.5),0.1)</f>
        <v>74.8</v>
      </c>
      <c r="D211" s="841"/>
      <c r="E211" s="840">
        <f>CEILING((E208*0.5),0.1)</f>
        <v>130</v>
      </c>
      <c r="F211" s="841"/>
      <c r="G211" s="840">
        <f>CEILING((G208*0.5),0.1)</f>
        <v>97.5</v>
      </c>
      <c r="H211" s="841"/>
      <c r="I211" s="840">
        <f>CEILING((I208*0.5),0.1)</f>
        <v>78</v>
      </c>
      <c r="J211" s="841"/>
      <c r="K211" s="521"/>
      <c r="L211" s="440"/>
      <c r="M211" s="271"/>
    </row>
    <row r="212" spans="1:13" ht="15">
      <c r="A212" s="18"/>
      <c r="B212" s="14" t="s">
        <v>334</v>
      </c>
      <c r="C212" s="840">
        <f>_xlfn.CEILING.MATH((C208+25*$Z$1),0.1)</f>
        <v>182</v>
      </c>
      <c r="D212" s="841"/>
      <c r="E212" s="840">
        <f>_xlfn.CEILING.MATH((E208+25*$Z$1),0.1)</f>
        <v>292.5</v>
      </c>
      <c r="F212" s="841"/>
      <c r="G212" s="840">
        <f>_xlfn.CEILING.MATH((G208+25*$Z$1),0.1)</f>
        <v>227.5</v>
      </c>
      <c r="H212" s="841"/>
      <c r="I212" s="840">
        <f>_xlfn.CEILING.MATH((I208+25*$Z$1),0.1)</f>
        <v>188.5</v>
      </c>
      <c r="J212" s="841"/>
      <c r="K212" s="440"/>
      <c r="L212" s="440"/>
      <c r="M212" s="271"/>
    </row>
    <row r="213" spans="1:13" ht="15">
      <c r="A213" s="22"/>
      <c r="B213" s="14" t="s">
        <v>335</v>
      </c>
      <c r="C213" s="840">
        <f>_xlfn.CEILING.MATH((C212+45*$Z$1),0.1)</f>
        <v>240.5</v>
      </c>
      <c r="D213" s="841"/>
      <c r="E213" s="840">
        <f>_xlfn.CEILING.MATH((E212+45*$Z$1),0.1)</f>
        <v>351</v>
      </c>
      <c r="F213" s="841"/>
      <c r="G213" s="840">
        <f>_xlfn.CEILING.MATH((G212+45*$Z$1),0.1)</f>
        <v>286</v>
      </c>
      <c r="H213" s="841"/>
      <c r="I213" s="840">
        <f>_xlfn.CEILING.MATH((I212+45*$Z$1),0.1)</f>
        <v>247</v>
      </c>
      <c r="J213" s="841"/>
      <c r="K213" s="440"/>
      <c r="L213" s="440"/>
      <c r="M213" s="271"/>
    </row>
    <row r="214" spans="1:13" ht="15.75" thickBot="1">
      <c r="A214" s="73" t="s">
        <v>914</v>
      </c>
      <c r="B214" s="351" t="s">
        <v>767</v>
      </c>
      <c r="C214" s="846">
        <f>CEILING(1100*$Z$1,0.1)</f>
        <v>1430</v>
      </c>
      <c r="D214" s="848"/>
      <c r="E214" s="846">
        <f>CEILING(1100*$Z$1,0.1)</f>
        <v>1430</v>
      </c>
      <c r="F214" s="848"/>
      <c r="G214" s="846">
        <f>CEILING(1100*$Z$1,0.1)</f>
        <v>1430</v>
      </c>
      <c r="H214" s="848"/>
      <c r="I214" s="846">
        <f>CEILING(1100*$Z$1,0.1)</f>
        <v>1430</v>
      </c>
      <c r="J214" s="848"/>
      <c r="K214" s="440"/>
      <c r="L214" s="440"/>
      <c r="M214" s="271"/>
    </row>
    <row r="215" spans="1:13" ht="15.75" thickTop="1">
      <c r="A215" s="1091" t="s">
        <v>768</v>
      </c>
      <c r="B215" s="1091"/>
      <c r="C215" s="1091"/>
      <c r="D215" s="1091"/>
      <c r="E215" s="1091"/>
      <c r="F215" s="1091"/>
      <c r="G215" s="1091"/>
      <c r="H215" s="1091"/>
      <c r="I215" s="1091"/>
      <c r="J215" s="1091"/>
      <c r="K215" s="440"/>
      <c r="L215" s="440"/>
      <c r="M215" s="271"/>
    </row>
    <row r="216" spans="1:13" ht="15">
      <c r="A216" s="248" t="s">
        <v>769</v>
      </c>
      <c r="B216" s="734"/>
      <c r="C216" s="734"/>
      <c r="D216" s="734"/>
      <c r="E216" s="734"/>
      <c r="F216" s="734"/>
      <c r="G216" s="734"/>
      <c r="H216" s="734"/>
      <c r="I216" s="734"/>
      <c r="J216" s="734"/>
      <c r="K216" s="440"/>
      <c r="L216" s="440"/>
      <c r="M216" s="271"/>
    </row>
    <row r="217" spans="1:25" s="724" customFormat="1" ht="15.75" thickBot="1">
      <c r="A217" s="409"/>
      <c r="B217" s="732"/>
      <c r="C217" s="732"/>
      <c r="D217" s="732"/>
      <c r="E217" s="732"/>
      <c r="F217" s="732"/>
      <c r="G217" s="732"/>
      <c r="H217" s="732"/>
      <c r="I217" s="732"/>
      <c r="J217" s="732"/>
      <c r="K217" s="440"/>
      <c r="L217" s="440"/>
      <c r="M217" s="271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</row>
    <row r="218" spans="1:25" s="724" customFormat="1" ht="24" customHeight="1" thickTop="1">
      <c r="A218" s="64" t="s">
        <v>74</v>
      </c>
      <c r="B218" s="75"/>
      <c r="C218" s="889" t="s">
        <v>665</v>
      </c>
      <c r="D218" s="890"/>
      <c r="E218" s="858" t="s">
        <v>716</v>
      </c>
      <c r="F218" s="859"/>
      <c r="G218" s="860" t="s">
        <v>721</v>
      </c>
      <c r="H218" s="861"/>
      <c r="I218" s="860" t="s">
        <v>668</v>
      </c>
      <c r="J218" s="862"/>
      <c r="K218" s="521"/>
      <c r="L218" s="440"/>
      <c r="M218" s="271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</row>
    <row r="219" spans="1:25" s="724" customFormat="1" ht="15">
      <c r="A219" s="352" t="s">
        <v>483</v>
      </c>
      <c r="B219" s="12" t="s">
        <v>82</v>
      </c>
      <c r="C219" s="840">
        <f>CEILING(95*$Z$1,0.1)</f>
        <v>123.5</v>
      </c>
      <c r="D219" s="844"/>
      <c r="E219" s="840">
        <f>CEILING(155*$Z$1,0.1)</f>
        <v>201.5</v>
      </c>
      <c r="F219" s="844"/>
      <c r="G219" s="840">
        <f>CEILING(123*$Z$1,0.1)</f>
        <v>159.9</v>
      </c>
      <c r="H219" s="844"/>
      <c r="I219" s="840">
        <f>CEILING(102*$Z$1,0.1)</f>
        <v>132.6</v>
      </c>
      <c r="J219" s="844"/>
      <c r="K219" s="521"/>
      <c r="L219" s="440"/>
      <c r="M219" s="271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</row>
    <row r="220" spans="1:25" s="724" customFormat="1" ht="15">
      <c r="A220" s="353" t="s">
        <v>76</v>
      </c>
      <c r="B220" s="14" t="s">
        <v>83</v>
      </c>
      <c r="C220" s="840">
        <f>_xlfn.CEILING.MATH((C219+40*$Z$1),0.1)</f>
        <v>175.5</v>
      </c>
      <c r="D220" s="841"/>
      <c r="E220" s="840">
        <f>_xlfn.CEILING.MATH((E219+40*$Z$1),0.1)</f>
        <v>253.5</v>
      </c>
      <c r="F220" s="841"/>
      <c r="G220" s="840">
        <f>_xlfn.CEILING.MATH((G219+40*$Z$1),0.1)</f>
        <v>211.9</v>
      </c>
      <c r="H220" s="841"/>
      <c r="I220" s="840">
        <f>_xlfn.CEILING.MATH((I219+40*$Z$1),0.1)</f>
        <v>184.60000000000002</v>
      </c>
      <c r="J220" s="841"/>
      <c r="K220" s="521"/>
      <c r="L220" s="440"/>
      <c r="M220" s="271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</row>
    <row r="221" spans="1:25" s="724" customFormat="1" ht="15.75">
      <c r="A221" s="614"/>
      <c r="B221" s="14" t="s">
        <v>107</v>
      </c>
      <c r="C221" s="842">
        <v>0</v>
      </c>
      <c r="D221" s="843"/>
      <c r="E221" s="840">
        <f>CEILING((E219*0.5),0.1)</f>
        <v>100.80000000000001</v>
      </c>
      <c r="F221" s="841"/>
      <c r="G221" s="840">
        <f>CEILING((G219*0.5),0.1)</f>
        <v>80</v>
      </c>
      <c r="H221" s="841"/>
      <c r="I221" s="842">
        <v>0</v>
      </c>
      <c r="J221" s="843"/>
      <c r="K221" s="521"/>
      <c r="L221" s="440"/>
      <c r="M221" s="271"/>
      <c r="N221" s="244"/>
      <c r="O221" s="244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</row>
    <row r="222" spans="1:25" s="724" customFormat="1" ht="15.75">
      <c r="A222" s="614" t="s">
        <v>179</v>
      </c>
      <c r="B222" s="12" t="s">
        <v>84</v>
      </c>
      <c r="C222" s="840">
        <f>_xlfn.CEILING.MATH((C219+15*$Z$1),0.1)</f>
        <v>143</v>
      </c>
      <c r="D222" s="841"/>
      <c r="E222" s="840">
        <f>_xlfn.CEILING.MATH((E219+15*$Z$1),0.1)</f>
        <v>221</v>
      </c>
      <c r="F222" s="841"/>
      <c r="G222" s="840">
        <f>_xlfn.CEILING.MATH((G219+15*$Z$1),0.1)</f>
        <v>179.4</v>
      </c>
      <c r="H222" s="841"/>
      <c r="I222" s="840">
        <f>_xlfn.CEILING.MATH((I219+15*$Z$1),0.1)</f>
        <v>152.1</v>
      </c>
      <c r="J222" s="841"/>
      <c r="K222" s="521"/>
      <c r="L222" s="440"/>
      <c r="M222" s="271"/>
      <c r="N222" s="244"/>
      <c r="O222" s="244"/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</row>
    <row r="223" spans="1:25" s="724" customFormat="1" ht="15">
      <c r="A223" s="706"/>
      <c r="B223" s="12" t="s">
        <v>85</v>
      </c>
      <c r="C223" s="840">
        <f>_xlfn.CEILING.MATH((C222+40*$Z$1),0.1)</f>
        <v>195</v>
      </c>
      <c r="D223" s="841"/>
      <c r="E223" s="840">
        <f>_xlfn.CEILING.MATH((E222+40*$Z$1),0.1)</f>
        <v>273</v>
      </c>
      <c r="F223" s="841"/>
      <c r="G223" s="840">
        <f>_xlfn.CEILING.MATH((G222+40*$Z$1),0.1)</f>
        <v>231.4</v>
      </c>
      <c r="H223" s="841"/>
      <c r="I223" s="840">
        <f>_xlfn.CEILING.MATH((I222+40*$Z$1),0.1)</f>
        <v>204.10000000000002</v>
      </c>
      <c r="J223" s="841"/>
      <c r="K223" s="521"/>
      <c r="L223" s="440"/>
      <c r="M223" s="271"/>
      <c r="N223" s="244"/>
      <c r="O223" s="244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</row>
    <row r="224" spans="1:25" s="724" customFormat="1" ht="15.75">
      <c r="A224" s="354"/>
      <c r="B224" s="14" t="s">
        <v>334</v>
      </c>
      <c r="C224" s="840">
        <f>_xlfn.CEILING.MATH((C219+20*$Z$1),0.1)</f>
        <v>149.5</v>
      </c>
      <c r="D224" s="841"/>
      <c r="E224" s="840">
        <f>_xlfn.CEILING.MATH((E219+20*$Z$1),0.1)</f>
        <v>227.5</v>
      </c>
      <c r="F224" s="841"/>
      <c r="G224" s="840">
        <f>_xlfn.CEILING.MATH((G219+20*$Z$1),0.1)</f>
        <v>185.9</v>
      </c>
      <c r="H224" s="841"/>
      <c r="I224" s="840">
        <f>_xlfn.CEILING.MATH((I219+20*$Z$1),0.1)</f>
        <v>158.60000000000002</v>
      </c>
      <c r="J224" s="841"/>
      <c r="K224" s="521"/>
      <c r="L224" s="440"/>
      <c r="M224" s="271"/>
      <c r="N224" s="244"/>
      <c r="O224" s="244"/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</row>
    <row r="225" spans="1:25" s="724" customFormat="1" ht="15.75">
      <c r="A225" s="354"/>
      <c r="B225" s="358" t="s">
        <v>335</v>
      </c>
      <c r="C225" s="835">
        <f>_xlfn.CEILING.MATH((C224+40*$Z$1),0.1)</f>
        <v>201.5</v>
      </c>
      <c r="D225" s="836"/>
      <c r="E225" s="835">
        <f>_xlfn.CEILING.MATH((E224+40*$Z$1),0.1)</f>
        <v>279.5</v>
      </c>
      <c r="F225" s="836"/>
      <c r="G225" s="835">
        <f>_xlfn.CEILING.MATH((G224+40*$Z$1),0.1)</f>
        <v>237.9</v>
      </c>
      <c r="H225" s="836"/>
      <c r="I225" s="835">
        <f>_xlfn.CEILING.MATH((I224+40*$Z$1),0.1)</f>
        <v>210.60000000000002</v>
      </c>
      <c r="J225" s="836"/>
      <c r="K225" s="521"/>
      <c r="L225" s="440"/>
      <c r="M225" s="271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</row>
    <row r="226" spans="1:25" s="724" customFormat="1" ht="15">
      <c r="A226" s="353"/>
      <c r="B226" s="14" t="s">
        <v>484</v>
      </c>
      <c r="C226" s="840">
        <f>_xlfn.CEILING.MATH((C219+10*$Z$1),0.1)</f>
        <v>136.5</v>
      </c>
      <c r="D226" s="841"/>
      <c r="E226" s="840">
        <f>_xlfn.CEILING.MATH((E219+10*$Z$1),0.1)</f>
        <v>214.5</v>
      </c>
      <c r="F226" s="841"/>
      <c r="G226" s="840">
        <f>_xlfn.CEILING.MATH((G219+10*$Z$1),0.1)</f>
        <v>172.9</v>
      </c>
      <c r="H226" s="841"/>
      <c r="I226" s="840">
        <f>_xlfn.CEILING.MATH((I219+10*$Z$1),0.1)</f>
        <v>145.6</v>
      </c>
      <c r="J226" s="841"/>
      <c r="K226" s="521"/>
      <c r="L226" s="440"/>
      <c r="M226" s="271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</row>
    <row r="227" spans="1:25" s="724" customFormat="1" ht="15">
      <c r="A227" s="353"/>
      <c r="B227" s="14" t="s">
        <v>485</v>
      </c>
      <c r="C227" s="840">
        <f>_xlfn.CEILING.MATH((C226+40*$Z$1),0.1)</f>
        <v>188.5</v>
      </c>
      <c r="D227" s="841"/>
      <c r="E227" s="840">
        <f>_xlfn.CEILING.MATH((E226+40*$Z$1),0.1)</f>
        <v>266.5</v>
      </c>
      <c r="F227" s="841"/>
      <c r="G227" s="840">
        <f>_xlfn.CEILING.MATH((G226+40*$Z$1),0.1)</f>
        <v>224.9</v>
      </c>
      <c r="H227" s="841"/>
      <c r="I227" s="840">
        <f>_xlfn.CEILING.MATH((I226+40*$Z$1),0.1)</f>
        <v>197.60000000000002</v>
      </c>
      <c r="J227" s="841"/>
      <c r="K227" s="440"/>
      <c r="L227" s="440"/>
      <c r="M227" s="271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</row>
    <row r="228" spans="1:25" s="724" customFormat="1" ht="15">
      <c r="A228" s="353"/>
      <c r="B228" s="14" t="s">
        <v>770</v>
      </c>
      <c r="C228" s="840">
        <f>_xlfn.CEILING.MATH((C219+25*$Z$1),0.1)</f>
        <v>156</v>
      </c>
      <c r="D228" s="841"/>
      <c r="E228" s="840">
        <f>_xlfn.CEILING.MATH((E219+25*$Z$1),0.1)</f>
        <v>234</v>
      </c>
      <c r="F228" s="841"/>
      <c r="G228" s="840">
        <f>_xlfn.CEILING.MATH((G219+25*$Z$1),0.1)</f>
        <v>192.4</v>
      </c>
      <c r="H228" s="841"/>
      <c r="I228" s="840">
        <f>_xlfn.CEILING.MATH((I219+25*$Z$1),0.1)</f>
        <v>165.10000000000002</v>
      </c>
      <c r="J228" s="841"/>
      <c r="K228" s="440"/>
      <c r="L228" s="440"/>
      <c r="M228" s="271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</row>
    <row r="229" spans="1:25" s="724" customFormat="1" ht="15">
      <c r="A229" s="353"/>
      <c r="B229" s="14" t="s">
        <v>771</v>
      </c>
      <c r="C229" s="840">
        <f>_xlfn.CEILING.MATH((C228+40*$Z$1),0.1)</f>
        <v>208</v>
      </c>
      <c r="D229" s="841"/>
      <c r="E229" s="840">
        <f>_xlfn.CEILING.MATH((E228+40*$Z$1),0.1)</f>
        <v>286</v>
      </c>
      <c r="F229" s="841"/>
      <c r="G229" s="840">
        <f>_xlfn.CEILING.MATH((G228+40*$Z$1),0.1)</f>
        <v>244.4</v>
      </c>
      <c r="H229" s="841"/>
      <c r="I229" s="840">
        <f>_xlfn.CEILING.MATH((I228+40*$Z$1),0.1)</f>
        <v>217.10000000000002</v>
      </c>
      <c r="J229" s="841"/>
      <c r="K229" s="440"/>
      <c r="L229" s="440"/>
      <c r="M229" s="271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</row>
    <row r="230" spans="1:25" s="724" customFormat="1" ht="15">
      <c r="A230" s="353"/>
      <c r="B230" s="14" t="s">
        <v>772</v>
      </c>
      <c r="C230" s="840">
        <f>_xlfn.CEILING.MATH((C219+35*$Z$1),0.1)</f>
        <v>169</v>
      </c>
      <c r="D230" s="841"/>
      <c r="E230" s="840">
        <f>_xlfn.CEILING.MATH((E219+35*$Z$1),0.1)</f>
        <v>247</v>
      </c>
      <c r="F230" s="841"/>
      <c r="G230" s="840">
        <f>_xlfn.CEILING.MATH((G219+35*$Z$1),0.1)</f>
        <v>205.4</v>
      </c>
      <c r="H230" s="841"/>
      <c r="I230" s="840">
        <f>_xlfn.CEILING.MATH((I219+35*$Z$1),0.1)</f>
        <v>178.10000000000002</v>
      </c>
      <c r="J230" s="841"/>
      <c r="K230" s="440"/>
      <c r="L230" s="440"/>
      <c r="M230" s="271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</row>
    <row r="231" spans="1:25" s="724" customFormat="1" ht="15">
      <c r="A231" s="353"/>
      <c r="B231" s="358" t="s">
        <v>773</v>
      </c>
      <c r="C231" s="835">
        <f>_xlfn.CEILING.MATH((C230+40*$Z$1),0.1)</f>
        <v>221</v>
      </c>
      <c r="D231" s="836"/>
      <c r="E231" s="835">
        <f>_xlfn.CEILING.MATH((E230+40*$Z$1),0.1)</f>
        <v>299</v>
      </c>
      <c r="F231" s="836"/>
      <c r="G231" s="835">
        <f>_xlfn.CEILING.MATH((G230+40*$Z$1),0.1)</f>
        <v>257.40000000000003</v>
      </c>
      <c r="H231" s="836"/>
      <c r="I231" s="835">
        <f>_xlfn.CEILING.MATH((I230+40*$Z$1),0.1)</f>
        <v>230.10000000000002</v>
      </c>
      <c r="J231" s="836"/>
      <c r="K231" s="440"/>
      <c r="L231" s="440"/>
      <c r="M231" s="271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</row>
    <row r="232" spans="1:25" s="724" customFormat="1" ht="15">
      <c r="A232" s="353"/>
      <c r="B232" s="14" t="s">
        <v>778</v>
      </c>
      <c r="C232" s="840">
        <f>_xlfn.CEILING.MATH((C219+10*$Z$1),0.1)</f>
        <v>136.5</v>
      </c>
      <c r="D232" s="841"/>
      <c r="E232" s="840">
        <f>_xlfn.CEILING.MATH((E219+10*$Z$1),0.1)</f>
        <v>214.5</v>
      </c>
      <c r="F232" s="841"/>
      <c r="G232" s="840">
        <f>_xlfn.CEILING.MATH((G219+10*$Z$1),0.1)</f>
        <v>172.9</v>
      </c>
      <c r="H232" s="841"/>
      <c r="I232" s="840">
        <f>_xlfn.CEILING.MATH((I219+10*$Z$1),0.1)</f>
        <v>145.6</v>
      </c>
      <c r="J232" s="841"/>
      <c r="K232" s="440"/>
      <c r="L232" s="440"/>
      <c r="M232" s="271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</row>
    <row r="233" spans="1:25" s="724" customFormat="1" ht="15">
      <c r="A233" s="353"/>
      <c r="B233" s="14" t="s">
        <v>775</v>
      </c>
      <c r="C233" s="840">
        <f>CEILING((C232*0.5),0.1)</f>
        <v>68.3</v>
      </c>
      <c r="D233" s="841"/>
      <c r="E233" s="840">
        <f>CEILING((E232*0.5),0.1)</f>
        <v>107.30000000000001</v>
      </c>
      <c r="F233" s="841"/>
      <c r="G233" s="840">
        <f>CEILING((G232*0.5),0.1)</f>
        <v>86.5</v>
      </c>
      <c r="H233" s="841"/>
      <c r="I233" s="840">
        <f>CEILING((I232*0.5),0.1)</f>
        <v>72.8</v>
      </c>
      <c r="J233" s="841"/>
      <c r="K233" s="440"/>
      <c r="L233" s="440"/>
      <c r="M233" s="271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</row>
    <row r="234" spans="1:25" s="724" customFormat="1" ht="15.75" thickBot="1">
      <c r="A234" s="73" t="s">
        <v>914</v>
      </c>
      <c r="B234" s="15" t="s">
        <v>776</v>
      </c>
      <c r="C234" s="846">
        <f>CEILING((C232*0.7),0.1)</f>
        <v>95.60000000000001</v>
      </c>
      <c r="D234" s="848"/>
      <c r="E234" s="846">
        <f>CEILING((E232*0.7),0.1)</f>
        <v>150.20000000000002</v>
      </c>
      <c r="F234" s="848"/>
      <c r="G234" s="846">
        <f>CEILING((G232*0.7),0.1)</f>
        <v>121.10000000000001</v>
      </c>
      <c r="H234" s="848"/>
      <c r="I234" s="846">
        <f>CEILING((I232*0.7),0.1)</f>
        <v>102</v>
      </c>
      <c r="J234" s="848"/>
      <c r="K234" s="440"/>
      <c r="L234" s="440"/>
      <c r="M234" s="271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</row>
    <row r="235" spans="1:25" s="724" customFormat="1" ht="17.25" customHeight="1" thickTop="1">
      <c r="A235" s="458" t="s">
        <v>774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440"/>
      <c r="L235" s="440"/>
      <c r="M235" s="271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</row>
    <row r="236" spans="1:25" s="724" customFormat="1" ht="15">
      <c r="A236" s="1042" t="s">
        <v>777</v>
      </c>
      <c r="B236" s="1042"/>
      <c r="C236" s="1042"/>
      <c r="D236" s="1042"/>
      <c r="E236" s="1042"/>
      <c r="F236" s="1042"/>
      <c r="G236" s="1042"/>
      <c r="H236" s="1042"/>
      <c r="I236" s="897"/>
      <c r="J236" s="897"/>
      <c r="K236" s="440"/>
      <c r="L236" s="440"/>
      <c r="M236" s="271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</row>
    <row r="237" spans="1:25" s="724" customFormat="1" ht="15">
      <c r="A237" s="487" t="s">
        <v>487</v>
      </c>
      <c r="B237" s="619"/>
      <c r="C237" s="619"/>
      <c r="D237" s="619"/>
      <c r="E237" s="619"/>
      <c r="F237" s="619"/>
      <c r="G237" s="619"/>
      <c r="H237" s="619"/>
      <c r="I237" s="67"/>
      <c r="J237" s="67"/>
      <c r="K237" s="440"/>
      <c r="L237" s="440"/>
      <c r="M237" s="271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</row>
    <row r="238" spans="1:25" s="724" customFormat="1" ht="15">
      <c r="A238" s="248" t="s">
        <v>779</v>
      </c>
      <c r="B238" s="619"/>
      <c r="C238" s="619"/>
      <c r="D238" s="619"/>
      <c r="E238" s="619"/>
      <c r="F238" s="619"/>
      <c r="G238" s="619"/>
      <c r="H238" s="619"/>
      <c r="I238" s="67"/>
      <c r="J238" s="67"/>
      <c r="K238" s="440"/>
      <c r="L238" s="440"/>
      <c r="M238" s="271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</row>
    <row r="239" spans="1:25" s="724" customFormat="1" ht="15">
      <c r="A239" s="248" t="s">
        <v>780</v>
      </c>
      <c r="B239" s="619"/>
      <c r="C239" s="619"/>
      <c r="D239" s="619"/>
      <c r="E239" s="619"/>
      <c r="F239" s="619"/>
      <c r="G239" s="619"/>
      <c r="H239" s="619"/>
      <c r="I239" s="67"/>
      <c r="J239" s="67"/>
      <c r="K239" s="440"/>
      <c r="L239" s="440"/>
      <c r="M239" s="271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</row>
    <row r="240" spans="1:13" ht="18" customHeight="1" thickBot="1">
      <c r="A240" s="409"/>
      <c r="B240" s="409"/>
      <c r="C240" s="409"/>
      <c r="D240" s="409"/>
      <c r="E240" s="2"/>
      <c r="F240" s="2"/>
      <c r="G240" s="2"/>
      <c r="H240" s="2"/>
      <c r="I240" s="2"/>
      <c r="J240" s="2"/>
      <c r="K240" s="440"/>
      <c r="L240" s="440"/>
      <c r="M240" s="271"/>
    </row>
    <row r="241" spans="1:13" ht="20.25" customHeight="1" hidden="1" thickTop="1">
      <c r="A241" s="64" t="s">
        <v>74</v>
      </c>
      <c r="B241" s="75"/>
      <c r="C241" s="889" t="s">
        <v>437</v>
      </c>
      <c r="D241" s="890"/>
      <c r="E241" s="858" t="s">
        <v>477</v>
      </c>
      <c r="F241" s="859"/>
      <c r="G241" s="858" t="s">
        <v>478</v>
      </c>
      <c r="H241" s="859"/>
      <c r="I241" s="860" t="s">
        <v>430</v>
      </c>
      <c r="J241" s="862"/>
      <c r="K241" s="521"/>
      <c r="L241" s="440"/>
      <c r="M241" s="271"/>
    </row>
    <row r="242" spans="1:13" ht="16.5" customHeight="1" hidden="1">
      <c r="A242" s="352" t="s">
        <v>483</v>
      </c>
      <c r="B242" s="12" t="s">
        <v>82</v>
      </c>
      <c r="C242" s="892"/>
      <c r="D242" s="894"/>
      <c r="E242" s="892"/>
      <c r="F242" s="894"/>
      <c r="G242" s="892">
        <v>154</v>
      </c>
      <c r="H242" s="894"/>
      <c r="I242" s="892">
        <v>128</v>
      </c>
      <c r="J242" s="893"/>
      <c r="K242" s="521"/>
      <c r="L242" s="440"/>
      <c r="M242" s="271"/>
    </row>
    <row r="243" spans="1:13" ht="15" hidden="1">
      <c r="A243" s="353" t="s">
        <v>76</v>
      </c>
      <c r="B243" s="14" t="s">
        <v>83</v>
      </c>
      <c r="C243" s="842"/>
      <c r="D243" s="843"/>
      <c r="E243" s="842"/>
      <c r="F243" s="843"/>
      <c r="G243" s="842">
        <v>204</v>
      </c>
      <c r="H243" s="843"/>
      <c r="I243" s="842">
        <v>178</v>
      </c>
      <c r="J243" s="845"/>
      <c r="K243" s="521"/>
      <c r="L243" s="440"/>
      <c r="M243" s="271"/>
    </row>
    <row r="244" spans="1:13" ht="15.75" hidden="1">
      <c r="A244" s="354"/>
      <c r="B244" s="34" t="s">
        <v>78</v>
      </c>
      <c r="C244" s="842"/>
      <c r="D244" s="843"/>
      <c r="E244" s="842"/>
      <c r="F244" s="843"/>
      <c r="G244" s="842">
        <v>131</v>
      </c>
      <c r="H244" s="843"/>
      <c r="I244" s="842">
        <v>109</v>
      </c>
      <c r="J244" s="845"/>
      <c r="K244" s="521"/>
      <c r="L244" s="440"/>
      <c r="M244" s="271"/>
    </row>
    <row r="245" spans="1:13" ht="15.75" hidden="1">
      <c r="A245" s="614" t="s">
        <v>179</v>
      </c>
      <c r="B245" s="14" t="s">
        <v>107</v>
      </c>
      <c r="C245" s="842"/>
      <c r="D245" s="843"/>
      <c r="E245" s="842"/>
      <c r="F245" s="843"/>
      <c r="G245" s="842">
        <v>77</v>
      </c>
      <c r="H245" s="843"/>
      <c r="I245" s="842">
        <v>0</v>
      </c>
      <c r="J245" s="845"/>
      <c r="K245" s="521"/>
      <c r="L245" s="440"/>
      <c r="M245" s="271"/>
    </row>
    <row r="246" spans="1:13" ht="15" hidden="1">
      <c r="A246" s="705" t="s">
        <v>577</v>
      </c>
      <c r="B246" s="12" t="s">
        <v>84</v>
      </c>
      <c r="C246" s="842"/>
      <c r="D246" s="843"/>
      <c r="E246" s="842"/>
      <c r="F246" s="843"/>
      <c r="G246" s="842">
        <v>173</v>
      </c>
      <c r="H246" s="843"/>
      <c r="I246" s="842">
        <v>147</v>
      </c>
      <c r="J246" s="845"/>
      <c r="K246" s="521"/>
      <c r="L246" s="440"/>
      <c r="M246" s="271"/>
    </row>
    <row r="247" spans="1:13" ht="15" hidden="1">
      <c r="A247" s="706" t="s">
        <v>578</v>
      </c>
      <c r="B247" s="12" t="s">
        <v>85</v>
      </c>
      <c r="C247" s="842"/>
      <c r="D247" s="843"/>
      <c r="E247" s="842"/>
      <c r="F247" s="843"/>
      <c r="G247" s="842">
        <v>223</v>
      </c>
      <c r="H247" s="843"/>
      <c r="I247" s="842">
        <v>197</v>
      </c>
      <c r="J247" s="845"/>
      <c r="K247" s="521"/>
      <c r="L247" s="440"/>
      <c r="M247" s="271"/>
    </row>
    <row r="248" spans="1:13" ht="15.75" hidden="1">
      <c r="A248" s="354"/>
      <c r="B248" s="14" t="s">
        <v>334</v>
      </c>
      <c r="C248" s="842"/>
      <c r="D248" s="843"/>
      <c r="E248" s="842"/>
      <c r="F248" s="843"/>
      <c r="G248" s="1026">
        <v>179</v>
      </c>
      <c r="H248" s="1027"/>
      <c r="I248" s="842">
        <v>153</v>
      </c>
      <c r="J248" s="845"/>
      <c r="K248" s="521"/>
      <c r="L248" s="440"/>
      <c r="M248" s="271"/>
    </row>
    <row r="249" spans="1:13" ht="15.75" hidden="1">
      <c r="A249" s="354"/>
      <c r="B249" s="14" t="s">
        <v>335</v>
      </c>
      <c r="C249" s="842"/>
      <c r="D249" s="843"/>
      <c r="E249" s="842"/>
      <c r="F249" s="843"/>
      <c r="G249" s="842">
        <v>229</v>
      </c>
      <c r="H249" s="843"/>
      <c r="I249" s="842">
        <v>203</v>
      </c>
      <c r="J249" s="845"/>
      <c r="K249" s="521"/>
      <c r="L249" s="440"/>
      <c r="M249" s="271"/>
    </row>
    <row r="250" spans="1:13" ht="15" hidden="1">
      <c r="A250" s="353"/>
      <c r="B250" s="14" t="s">
        <v>484</v>
      </c>
      <c r="C250" s="842"/>
      <c r="D250" s="843"/>
      <c r="E250" s="842"/>
      <c r="F250" s="843"/>
      <c r="G250" s="842">
        <v>167</v>
      </c>
      <c r="H250" s="843"/>
      <c r="I250" s="842">
        <v>140</v>
      </c>
      <c r="J250" s="843"/>
      <c r="K250" s="521"/>
      <c r="L250" s="440"/>
      <c r="M250" s="271"/>
    </row>
    <row r="251" spans="1:13" ht="15.75" hidden="1" thickBot="1">
      <c r="A251" s="73" t="s">
        <v>481</v>
      </c>
      <c r="B251" s="15" t="s">
        <v>485</v>
      </c>
      <c r="C251" s="883"/>
      <c r="D251" s="884"/>
      <c r="E251" s="883"/>
      <c r="F251" s="884"/>
      <c r="G251" s="883">
        <v>217</v>
      </c>
      <c r="H251" s="884"/>
      <c r="I251" s="883">
        <v>190</v>
      </c>
      <c r="J251" s="884"/>
      <c r="K251" s="521"/>
      <c r="L251" s="440"/>
      <c r="M251" s="271"/>
    </row>
    <row r="252" spans="1:13" ht="15.75" hidden="1" thickTop="1">
      <c r="A252" s="620" t="s">
        <v>488</v>
      </c>
      <c r="B252" s="60"/>
      <c r="C252" s="3"/>
      <c r="D252" s="3"/>
      <c r="E252" s="3"/>
      <c r="F252" s="3"/>
      <c r="G252" s="3"/>
      <c r="H252" s="3"/>
      <c r="I252" s="3"/>
      <c r="J252" s="606"/>
      <c r="K252" s="440"/>
      <c r="L252" s="440"/>
      <c r="M252" s="271"/>
    </row>
    <row r="253" spans="1:13" ht="15" hidden="1">
      <c r="A253" s="458" t="s">
        <v>365</v>
      </c>
      <c r="B253" s="24"/>
      <c r="C253" s="24"/>
      <c r="D253" s="24"/>
      <c r="E253" s="24"/>
      <c r="F253" s="24"/>
      <c r="G253" s="24"/>
      <c r="H253" s="24"/>
      <c r="I253" s="24"/>
      <c r="J253" s="24"/>
      <c r="K253" s="440"/>
      <c r="L253" s="440"/>
      <c r="M253" s="271"/>
    </row>
    <row r="254" spans="1:13" ht="15" hidden="1">
      <c r="A254" s="1042" t="s">
        <v>486</v>
      </c>
      <c r="B254" s="1042"/>
      <c r="C254" s="1042"/>
      <c r="D254" s="1042"/>
      <c r="E254" s="1042"/>
      <c r="F254" s="1042"/>
      <c r="G254" s="1042"/>
      <c r="H254" s="1042"/>
      <c r="I254" s="897"/>
      <c r="J254" s="897"/>
      <c r="K254" s="440"/>
      <c r="L254" s="440"/>
      <c r="M254" s="271"/>
    </row>
    <row r="255" spans="1:13" ht="15" hidden="1">
      <c r="A255" s="487" t="s">
        <v>487</v>
      </c>
      <c r="B255" s="619"/>
      <c r="C255" s="619"/>
      <c r="D255" s="619"/>
      <c r="E255" s="619"/>
      <c r="F255" s="619"/>
      <c r="G255" s="619"/>
      <c r="H255" s="619"/>
      <c r="I255" s="67"/>
      <c r="J255" s="67"/>
      <c r="K255" s="440"/>
      <c r="L255" s="440"/>
      <c r="M255" s="271"/>
    </row>
    <row r="256" spans="1:13" ht="15" hidden="1">
      <c r="A256" s="248" t="s">
        <v>530</v>
      </c>
      <c r="B256" s="619"/>
      <c r="C256" s="619"/>
      <c r="D256" s="619"/>
      <c r="E256" s="619"/>
      <c r="F256" s="619"/>
      <c r="G256" s="619"/>
      <c r="H256" s="619"/>
      <c r="I256" s="67"/>
      <c r="J256" s="67"/>
      <c r="K256" s="440"/>
      <c r="L256" s="440"/>
      <c r="M256" s="271"/>
    </row>
    <row r="257" spans="1:13" ht="16.5" hidden="1" thickBot="1" thickTop="1">
      <c r="A257" s="409"/>
      <c r="B257" s="409"/>
      <c r="C257" s="409"/>
      <c r="D257" s="409"/>
      <c r="E257" s="2"/>
      <c r="F257" s="2"/>
      <c r="G257" s="2"/>
      <c r="H257" s="2"/>
      <c r="I257" s="2"/>
      <c r="J257" s="2"/>
      <c r="K257" s="440"/>
      <c r="L257" s="440"/>
      <c r="M257" s="271"/>
    </row>
    <row r="258" spans="1:14" ht="24" customHeight="1" thickTop="1">
      <c r="A258" s="64" t="s">
        <v>74</v>
      </c>
      <c r="B258" s="75"/>
      <c r="C258" s="870" t="s">
        <v>665</v>
      </c>
      <c r="D258" s="871"/>
      <c r="E258" s="852" t="s">
        <v>716</v>
      </c>
      <c r="F258" s="853"/>
      <c r="G258" s="854" t="s">
        <v>721</v>
      </c>
      <c r="H258" s="930"/>
      <c r="I258" s="854" t="s">
        <v>668</v>
      </c>
      <c r="J258" s="930"/>
      <c r="K258" s="598"/>
      <c r="L258" s="605"/>
      <c r="M258" s="3"/>
      <c r="N258" s="3"/>
    </row>
    <row r="259" spans="1:14" ht="17.25" customHeight="1">
      <c r="A259" s="352" t="s">
        <v>108</v>
      </c>
      <c r="B259" s="12" t="s">
        <v>82</v>
      </c>
      <c r="C259" s="840">
        <f>CEILING(85*$Z$1,0.1)</f>
        <v>110.5</v>
      </c>
      <c r="D259" s="844"/>
      <c r="E259" s="840">
        <f>CEILING(145*$Z$1,0.1)</f>
        <v>188.5</v>
      </c>
      <c r="F259" s="844"/>
      <c r="G259" s="840">
        <f>CEILING(113*$Z$1,0.1)</f>
        <v>146.9</v>
      </c>
      <c r="H259" s="844"/>
      <c r="I259" s="840">
        <f>CEILING(92*$Z$1,0.1)</f>
        <v>119.60000000000001</v>
      </c>
      <c r="J259" s="844"/>
      <c r="K259" s="588"/>
      <c r="L259" s="590"/>
      <c r="M259" s="3"/>
      <c r="N259" s="3"/>
    </row>
    <row r="260" spans="1:14" ht="18" customHeight="1">
      <c r="A260" s="353" t="s">
        <v>76</v>
      </c>
      <c r="B260" s="14" t="s">
        <v>83</v>
      </c>
      <c r="C260" s="840">
        <f>_xlfn.CEILING.MATH((C259+35*$Z$1),0.1)</f>
        <v>156</v>
      </c>
      <c r="D260" s="841"/>
      <c r="E260" s="840">
        <f>_xlfn.CEILING.MATH((E259+35*$Z$1),0.1)</f>
        <v>234</v>
      </c>
      <c r="F260" s="841"/>
      <c r="G260" s="840">
        <f>_xlfn.CEILING.MATH((G259+35*$Z$1),0.1)</f>
        <v>192.4</v>
      </c>
      <c r="H260" s="841"/>
      <c r="I260" s="840">
        <f>_xlfn.CEILING.MATH((I259+35*$Z$1),0.1)</f>
        <v>165.10000000000002</v>
      </c>
      <c r="J260" s="841"/>
      <c r="K260" s="588"/>
      <c r="L260" s="590"/>
      <c r="M260" s="66"/>
      <c r="N260" s="66"/>
    </row>
    <row r="261" spans="1:14" ht="18" customHeight="1">
      <c r="A261" s="354"/>
      <c r="B261" s="34" t="s">
        <v>78</v>
      </c>
      <c r="C261" s="840">
        <f>CEILING((C259*0.85),0.1)</f>
        <v>94</v>
      </c>
      <c r="D261" s="841"/>
      <c r="E261" s="840">
        <f>CEILING((E259*0.85),0.1)</f>
        <v>160.3</v>
      </c>
      <c r="F261" s="841"/>
      <c r="G261" s="840">
        <f>CEILING((G259*0.85),0.1)</f>
        <v>124.9</v>
      </c>
      <c r="H261" s="841"/>
      <c r="I261" s="840">
        <f>CEILING((I259*0.85),0.1)</f>
        <v>101.7</v>
      </c>
      <c r="J261" s="841"/>
      <c r="K261" s="588"/>
      <c r="L261" s="590"/>
      <c r="M261" s="66"/>
      <c r="N261" s="66"/>
    </row>
    <row r="262" spans="1:14" ht="15" customHeight="1">
      <c r="A262" s="243"/>
      <c r="B262" s="14" t="s">
        <v>107</v>
      </c>
      <c r="C262" s="842">
        <v>0</v>
      </c>
      <c r="D262" s="843"/>
      <c r="E262" s="840">
        <f>CEILING((E259*0.5),0.1)</f>
        <v>94.30000000000001</v>
      </c>
      <c r="F262" s="841"/>
      <c r="G262" s="840">
        <f>CEILING((G259*0.5),0.1)</f>
        <v>73.5</v>
      </c>
      <c r="H262" s="841"/>
      <c r="I262" s="842">
        <v>0</v>
      </c>
      <c r="J262" s="843"/>
      <c r="K262" s="588"/>
      <c r="L262" s="590"/>
      <c r="M262" s="66"/>
      <c r="N262" s="66"/>
    </row>
    <row r="263" spans="1:14" ht="16.5" customHeight="1">
      <c r="A263" s="572"/>
      <c r="B263" s="12" t="s">
        <v>84</v>
      </c>
      <c r="C263" s="840">
        <f>_xlfn.CEILING.MATH((C259+15*$Z$1),0.1)</f>
        <v>130</v>
      </c>
      <c r="D263" s="841"/>
      <c r="E263" s="840">
        <f>_xlfn.CEILING.MATH((E259+15*$Z$1),0.1)</f>
        <v>208</v>
      </c>
      <c r="F263" s="841"/>
      <c r="G263" s="840">
        <f>_xlfn.CEILING.MATH((G259+15*$Z$1),0.1)</f>
        <v>166.4</v>
      </c>
      <c r="H263" s="841"/>
      <c r="I263" s="840">
        <f>_xlfn.CEILING.MATH((I259+15*$Z$1),0.1)</f>
        <v>139.1</v>
      </c>
      <c r="J263" s="841"/>
      <c r="K263" s="588"/>
      <c r="L263" s="590"/>
      <c r="M263" s="22"/>
      <c r="N263" s="22"/>
    </row>
    <row r="264" spans="1:14" ht="16.5" customHeight="1">
      <c r="A264" s="354"/>
      <c r="B264" s="12" t="s">
        <v>85</v>
      </c>
      <c r="C264" s="840">
        <f>_xlfn.CEILING.MATH((C263+35*$Z$1),0.1)</f>
        <v>175.5</v>
      </c>
      <c r="D264" s="841"/>
      <c r="E264" s="840">
        <f>_xlfn.CEILING.MATH((E263+35*$Z$1),0.1)</f>
        <v>253.5</v>
      </c>
      <c r="F264" s="841"/>
      <c r="G264" s="840">
        <f>_xlfn.CEILING.MATH((G263+35*$Z$1),0.1)</f>
        <v>211.9</v>
      </c>
      <c r="H264" s="841"/>
      <c r="I264" s="840">
        <f>_xlfn.CEILING.MATH((I263+35*$Z$1),0.1)</f>
        <v>184.60000000000002</v>
      </c>
      <c r="J264" s="841"/>
      <c r="K264" s="588"/>
      <c r="L264" s="590"/>
      <c r="M264" s="931"/>
      <c r="N264" s="931"/>
    </row>
    <row r="265" spans="1:14" ht="15.75">
      <c r="A265" s="354"/>
      <c r="B265" s="12" t="s">
        <v>292</v>
      </c>
      <c r="C265" s="840">
        <f>_xlfn.CEILING.MATH((C259+10*$Z$1),0.1)</f>
        <v>123.5</v>
      </c>
      <c r="D265" s="841"/>
      <c r="E265" s="840">
        <f>_xlfn.CEILING.MATH((E259+10*$Z$1),0.1)</f>
        <v>201.5</v>
      </c>
      <c r="F265" s="841"/>
      <c r="G265" s="840">
        <f>_xlfn.CEILING.MATH((G259+10*$Z$1),0.1)</f>
        <v>159.9</v>
      </c>
      <c r="H265" s="841"/>
      <c r="I265" s="840">
        <f>_xlfn.CEILING.MATH((I259+10*$Z$1),0.1)</f>
        <v>132.6</v>
      </c>
      <c r="J265" s="841"/>
      <c r="K265" s="588"/>
      <c r="L265" s="590"/>
      <c r="M265" s="845"/>
      <c r="N265" s="845"/>
    </row>
    <row r="266" spans="1:14" ht="16.5" customHeight="1">
      <c r="A266" s="354"/>
      <c r="B266" s="13" t="s">
        <v>291</v>
      </c>
      <c r="C266" s="840">
        <f>_xlfn.CEILING.MATH((C259+20*$Z$1),0.1)</f>
        <v>136.5</v>
      </c>
      <c r="D266" s="841"/>
      <c r="E266" s="840">
        <f>_xlfn.CEILING.MATH((E259+20*$Z$1),0.1)</f>
        <v>214.5</v>
      </c>
      <c r="F266" s="841"/>
      <c r="G266" s="840">
        <f>_xlfn.CEILING.MATH((G259+20*$Z$1),0.1)</f>
        <v>172.9</v>
      </c>
      <c r="H266" s="841"/>
      <c r="I266" s="840">
        <f>_xlfn.CEILING.MATH((I259+20*$Z$1),0.1)</f>
        <v>145.6</v>
      </c>
      <c r="J266" s="841"/>
      <c r="K266" s="588"/>
      <c r="L266" s="590"/>
      <c r="M266" s="845"/>
      <c r="N266" s="845"/>
    </row>
    <row r="267" spans="1:14" ht="17.25" customHeight="1">
      <c r="A267" s="353"/>
      <c r="B267" s="34" t="s">
        <v>94</v>
      </c>
      <c r="C267" s="840">
        <f>_xlfn.CEILING.MATH((C259+25*$Z$1),0.1)</f>
        <v>143</v>
      </c>
      <c r="D267" s="841"/>
      <c r="E267" s="840">
        <f>_xlfn.CEILING.MATH((E259+25*$Z$1),0.1)</f>
        <v>221</v>
      </c>
      <c r="F267" s="841"/>
      <c r="G267" s="840">
        <f>_xlfn.CEILING.MATH((G259+25*$Z$1),0.1)</f>
        <v>179.4</v>
      </c>
      <c r="H267" s="841"/>
      <c r="I267" s="840">
        <f>_xlfn.CEILING.MATH((I259+25*$Z$1),0.1)</f>
        <v>152.1</v>
      </c>
      <c r="J267" s="841"/>
      <c r="K267" s="588"/>
      <c r="L267" s="590"/>
      <c r="M267" s="3"/>
      <c r="N267" s="3"/>
    </row>
    <row r="268" spans="1:14" ht="15.75" thickBot="1">
      <c r="A268" s="73" t="s">
        <v>914</v>
      </c>
      <c r="B268" s="34" t="s">
        <v>95</v>
      </c>
      <c r="C268" s="846">
        <f>_xlfn.CEILING.MATH((C267+35*$Z$1),0.1)</f>
        <v>188.5</v>
      </c>
      <c r="D268" s="848"/>
      <c r="E268" s="846">
        <f>_xlfn.CEILING.MATH((E267+35*$Z$1),0.1)</f>
        <v>266.5</v>
      </c>
      <c r="F268" s="848"/>
      <c r="G268" s="846">
        <f>_xlfn.CEILING.MATH((G267+35*$Z$1),0.1)</f>
        <v>224.9</v>
      </c>
      <c r="H268" s="848"/>
      <c r="I268" s="846">
        <f>_xlfn.CEILING.MATH((I267+35*$Z$1),0.1)</f>
        <v>197.60000000000002</v>
      </c>
      <c r="J268" s="848"/>
      <c r="K268" s="588"/>
      <c r="L268" s="590"/>
      <c r="M268" s="845"/>
      <c r="N268" s="845"/>
    </row>
    <row r="269" spans="1:14" ht="15.75" thickTop="1">
      <c r="A269" s="355" t="s">
        <v>794</v>
      </c>
      <c r="B269" s="356"/>
      <c r="C269" s="356"/>
      <c r="D269" s="356"/>
      <c r="E269" s="356"/>
      <c r="F269" s="356"/>
      <c r="G269" s="356"/>
      <c r="H269" s="356"/>
      <c r="I269" s="356"/>
      <c r="J269" s="356"/>
      <c r="K269" s="602"/>
      <c r="L269" s="602"/>
      <c r="M269" s="3"/>
      <c r="N269" s="3"/>
    </row>
    <row r="270" spans="1:14" ht="17.25" customHeight="1">
      <c r="A270" s="404" t="s">
        <v>338</v>
      </c>
      <c r="B270" s="405"/>
      <c r="C270" s="405"/>
      <c r="D270" s="405"/>
      <c r="E270" s="405"/>
      <c r="F270" s="405"/>
      <c r="G270" s="405"/>
      <c r="H270" s="405"/>
      <c r="I270" s="406"/>
      <c r="J270" s="406"/>
      <c r="K270" s="602"/>
      <c r="L270" s="602"/>
      <c r="M270" s="3"/>
      <c r="N270" s="3"/>
    </row>
    <row r="271" spans="1:14" ht="15.75" customHeight="1">
      <c r="A271" s="1088" t="s">
        <v>482</v>
      </c>
      <c r="B271" s="1088"/>
      <c r="C271" s="1088"/>
      <c r="D271" s="1088"/>
      <c r="E271" s="1088"/>
      <c r="F271" s="1088"/>
      <c r="G271" s="1088"/>
      <c r="H271" s="1088"/>
      <c r="I271" s="67"/>
      <c r="J271" s="67"/>
      <c r="K271" s="389"/>
      <c r="L271" s="389"/>
      <c r="M271" s="22"/>
      <c r="N271" s="22"/>
    </row>
    <row r="272" spans="1:25" s="724" customFormat="1" ht="15.75" customHeight="1">
      <c r="A272" s="248" t="s">
        <v>779</v>
      </c>
      <c r="B272" s="619"/>
      <c r="C272" s="619"/>
      <c r="D272" s="619"/>
      <c r="E272" s="619"/>
      <c r="F272" s="619"/>
      <c r="G272" s="619"/>
      <c r="H272" s="619"/>
      <c r="I272" s="67"/>
      <c r="J272" s="67"/>
      <c r="K272" s="389"/>
      <c r="L272" s="389"/>
      <c r="M272" s="22"/>
      <c r="N272" s="22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</row>
    <row r="273" spans="1:25" s="724" customFormat="1" ht="15.75" customHeight="1">
      <c r="A273" s="248" t="s">
        <v>780</v>
      </c>
      <c r="B273" s="619"/>
      <c r="C273" s="619"/>
      <c r="D273" s="619"/>
      <c r="E273" s="619"/>
      <c r="F273" s="619"/>
      <c r="G273" s="619"/>
      <c r="H273" s="619"/>
      <c r="I273" s="67"/>
      <c r="J273" s="67"/>
      <c r="K273" s="389"/>
      <c r="L273" s="389"/>
      <c r="M273" s="22"/>
      <c r="N273" s="22"/>
      <c r="O273" s="244"/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</row>
    <row r="274" spans="1:25" ht="15.75" thickBot="1">
      <c r="A274" s="1078"/>
      <c r="B274" s="1079"/>
      <c r="C274" s="1079"/>
      <c r="D274" s="1079"/>
      <c r="E274" s="1079"/>
      <c r="F274" s="1079"/>
      <c r="G274" s="1079"/>
      <c r="H274" s="1079"/>
      <c r="I274" s="1079"/>
      <c r="J274" s="1079"/>
      <c r="K274" s="440"/>
      <c r="L274" s="440"/>
      <c r="M274" s="244"/>
      <c r="X274"/>
      <c r="Y274"/>
    </row>
    <row r="275" spans="1:25" ht="23.25" customHeight="1" thickTop="1">
      <c r="A275" s="68" t="s">
        <v>74</v>
      </c>
      <c r="B275" s="69"/>
      <c r="C275" s="889" t="s">
        <v>665</v>
      </c>
      <c r="D275" s="890"/>
      <c r="E275" s="858" t="s">
        <v>716</v>
      </c>
      <c r="F275" s="859"/>
      <c r="G275" s="860" t="s">
        <v>721</v>
      </c>
      <c r="H275" s="861"/>
      <c r="I275" s="860" t="s">
        <v>668</v>
      </c>
      <c r="J275" s="862"/>
      <c r="K275" s="598"/>
      <c r="L275" s="605"/>
      <c r="M275" s="244"/>
      <c r="X275"/>
      <c r="Y275"/>
    </row>
    <row r="276" spans="1:25" ht="15">
      <c r="A276" s="32" t="s">
        <v>109</v>
      </c>
      <c r="B276" s="34" t="s">
        <v>82</v>
      </c>
      <c r="C276" s="837">
        <f>CEILING(76*$Z$1,0.1)</f>
        <v>98.80000000000001</v>
      </c>
      <c r="D276" s="838"/>
      <c r="E276" s="837">
        <f>CEILING(130*$Z$1,0.1)</f>
        <v>169</v>
      </c>
      <c r="F276" s="838"/>
      <c r="G276" s="837">
        <f>CEILING(110*$Z$1,0.1)</f>
        <v>143</v>
      </c>
      <c r="H276" s="838"/>
      <c r="I276" s="837">
        <f>CEILING(82*$Z$1,0.1)</f>
        <v>106.60000000000001</v>
      </c>
      <c r="J276" s="839"/>
      <c r="K276" s="588"/>
      <c r="L276" s="590"/>
      <c r="M276" s="244"/>
      <c r="X276"/>
      <c r="Y276"/>
    </row>
    <row r="277" spans="1:25" ht="15">
      <c r="A277" s="33" t="s">
        <v>339</v>
      </c>
      <c r="B277" s="14" t="s">
        <v>83</v>
      </c>
      <c r="C277" s="840">
        <f>_xlfn.CEILING.MATH((C276+30*$Z$1),0.1)</f>
        <v>137.8</v>
      </c>
      <c r="D277" s="841"/>
      <c r="E277" s="840">
        <f>_xlfn.CEILING.MATH((E276+30*$Z$1),0.1)</f>
        <v>208</v>
      </c>
      <c r="F277" s="841"/>
      <c r="G277" s="840">
        <f>_xlfn.CEILING.MATH((G276+30*$Z$1),0.1)</f>
        <v>182</v>
      </c>
      <c r="H277" s="841"/>
      <c r="I277" s="840">
        <f>_xlfn.CEILING.MATH((I276+30*$Z$1),0.1)</f>
        <v>145.6</v>
      </c>
      <c r="J277" s="841"/>
      <c r="K277" s="588"/>
      <c r="L277" s="590"/>
      <c r="M277" s="244"/>
      <c r="X277"/>
      <c r="Y277"/>
    </row>
    <row r="278" spans="1:25" ht="18" customHeight="1">
      <c r="A278" s="243"/>
      <c r="B278" s="14" t="s">
        <v>78</v>
      </c>
      <c r="C278" s="840">
        <f>CEILING((C276*0.85),0.1)</f>
        <v>84</v>
      </c>
      <c r="D278" s="841"/>
      <c r="E278" s="840">
        <f>CEILING((E276*0.85),0.1)</f>
        <v>143.70000000000002</v>
      </c>
      <c r="F278" s="841"/>
      <c r="G278" s="840">
        <f>CEILING((G276*0.85),0.1)</f>
        <v>121.60000000000001</v>
      </c>
      <c r="H278" s="841"/>
      <c r="I278" s="840">
        <f>CEILING((I276*0.85),0.1)</f>
        <v>90.7</v>
      </c>
      <c r="J278" s="841"/>
      <c r="K278" s="588"/>
      <c r="L278" s="590"/>
      <c r="M278" s="244"/>
      <c r="X278"/>
      <c r="Y278"/>
    </row>
    <row r="279" spans="1:14" ht="18.75" customHeight="1" thickBot="1">
      <c r="A279" s="73" t="s">
        <v>950</v>
      </c>
      <c r="B279" s="264" t="s">
        <v>107</v>
      </c>
      <c r="C279" s="883">
        <v>0</v>
      </c>
      <c r="D279" s="884"/>
      <c r="E279" s="846">
        <f>CEILING((E276*0.5),0.1)</f>
        <v>84.5</v>
      </c>
      <c r="F279" s="848"/>
      <c r="G279" s="846">
        <f>CEILING((G276*0.5),0.1)</f>
        <v>71.5</v>
      </c>
      <c r="H279" s="848"/>
      <c r="I279" s="883">
        <v>0</v>
      </c>
      <c r="J279" s="884"/>
      <c r="K279" s="588"/>
      <c r="L279" s="590"/>
      <c r="M279" s="3"/>
      <c r="N279" s="3"/>
    </row>
    <row r="280" spans="1:14" ht="18" customHeight="1" thickTop="1">
      <c r="A280" s="719" t="s">
        <v>795</v>
      </c>
      <c r="B280" s="24"/>
      <c r="C280" s="24"/>
      <c r="D280" s="24"/>
      <c r="E280" s="24"/>
      <c r="F280" s="24"/>
      <c r="G280" s="24"/>
      <c r="H280" s="24"/>
      <c r="I280" s="24"/>
      <c r="J280" s="24"/>
      <c r="K280" s="241"/>
      <c r="L280" s="241"/>
      <c r="M280" s="3"/>
      <c r="N280" s="3"/>
    </row>
    <row r="281" spans="1:25" s="724" customFormat="1" ht="18" customHeight="1">
      <c r="A281" s="248" t="s">
        <v>797</v>
      </c>
      <c r="B281" s="24"/>
      <c r="C281" s="24"/>
      <c r="D281" s="24"/>
      <c r="E281" s="24"/>
      <c r="F281" s="24"/>
      <c r="G281" s="24"/>
      <c r="H281" s="24"/>
      <c r="I281" s="24"/>
      <c r="J281" s="24"/>
      <c r="K281" s="241"/>
      <c r="L281" s="241"/>
      <c r="M281" s="3"/>
      <c r="N281" s="3"/>
      <c r="O281" s="244"/>
      <c r="P281" s="244"/>
      <c r="Q281" s="244"/>
      <c r="R281" s="244"/>
      <c r="S281" s="244"/>
      <c r="T281" s="244"/>
      <c r="U281" s="244"/>
      <c r="V281" s="244"/>
      <c r="W281" s="244"/>
      <c r="X281" s="244"/>
      <c r="Y281" s="244"/>
    </row>
    <row r="282" spans="1:25" s="724" customFormat="1" ht="18" customHeight="1">
      <c r="A282" s="248" t="s">
        <v>798</v>
      </c>
      <c r="B282" s="24"/>
      <c r="C282" s="24"/>
      <c r="D282" s="24"/>
      <c r="E282" s="24"/>
      <c r="F282" s="24"/>
      <c r="G282" s="24"/>
      <c r="H282" s="24"/>
      <c r="I282" s="24"/>
      <c r="J282" s="24"/>
      <c r="K282" s="241"/>
      <c r="L282" s="241"/>
      <c r="M282" s="3"/>
      <c r="N282" s="3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</row>
    <row r="283" spans="1:25" ht="18" customHeight="1" thickBot="1">
      <c r="A283" s="70"/>
      <c r="B283" s="71"/>
      <c r="C283" s="71"/>
      <c r="D283" s="71"/>
      <c r="E283" s="71"/>
      <c r="F283" s="71"/>
      <c r="G283" s="71"/>
      <c r="H283" s="71"/>
      <c r="I283" s="71"/>
      <c r="J283" s="71"/>
      <c r="K283" s="440"/>
      <c r="L283" s="440"/>
      <c r="M283" s="244"/>
      <c r="X283"/>
      <c r="Y283"/>
    </row>
    <row r="284" spans="1:25" ht="24" customHeight="1" thickTop="1">
      <c r="A284" s="64" t="s">
        <v>74</v>
      </c>
      <c r="B284" s="75"/>
      <c r="C284" s="889" t="s">
        <v>665</v>
      </c>
      <c r="D284" s="890"/>
      <c r="E284" s="858" t="s">
        <v>716</v>
      </c>
      <c r="F284" s="859"/>
      <c r="G284" s="860" t="s">
        <v>721</v>
      </c>
      <c r="H284" s="861"/>
      <c r="I284" s="860" t="s">
        <v>668</v>
      </c>
      <c r="J284" s="862"/>
      <c r="K284" s="506"/>
      <c r="L284" s="128"/>
      <c r="M284" s="244"/>
      <c r="X284"/>
      <c r="Y284"/>
    </row>
    <row r="285" spans="1:23" s="717" customFormat="1" ht="15" customHeight="1">
      <c r="A285" s="352" t="s">
        <v>110</v>
      </c>
      <c r="B285" s="12" t="s">
        <v>82</v>
      </c>
      <c r="C285" s="837">
        <f>CEILING(64*$Z$1,0.1)</f>
        <v>83.2</v>
      </c>
      <c r="D285" s="838"/>
      <c r="E285" s="837">
        <f>CEILING(127*$Z$1,0.1)</f>
        <v>165.10000000000002</v>
      </c>
      <c r="F285" s="838"/>
      <c r="G285" s="837">
        <f>CEILING(102*$Z$1,0.1)</f>
        <v>132.6</v>
      </c>
      <c r="H285" s="838"/>
      <c r="I285" s="837">
        <f>CEILING(72*$Z$1,0.1)</f>
        <v>93.60000000000001</v>
      </c>
      <c r="J285" s="839"/>
      <c r="K285" s="714"/>
      <c r="L285" s="715"/>
      <c r="M285" s="716"/>
      <c r="N285" s="716"/>
      <c r="O285" s="716"/>
      <c r="P285" s="716"/>
      <c r="Q285" s="716"/>
      <c r="R285" s="716"/>
      <c r="S285" s="716"/>
      <c r="T285" s="716"/>
      <c r="U285" s="716"/>
      <c r="V285" s="716"/>
      <c r="W285" s="716"/>
    </row>
    <row r="286" spans="1:25" ht="15" customHeight="1">
      <c r="A286" s="353" t="s">
        <v>91</v>
      </c>
      <c r="B286" s="14" t="s">
        <v>83</v>
      </c>
      <c r="C286" s="840">
        <f>_xlfn.CEILING.MATH((C285+25*$Z$1),0.1)</f>
        <v>115.7</v>
      </c>
      <c r="D286" s="841"/>
      <c r="E286" s="840">
        <f>_xlfn.CEILING.MATH((E285+25*$Z$1),0.1)</f>
        <v>197.60000000000002</v>
      </c>
      <c r="F286" s="841"/>
      <c r="G286" s="840">
        <f>_xlfn.CEILING.MATH((G285+25*$Z$1),0.1)</f>
        <v>165.10000000000002</v>
      </c>
      <c r="H286" s="841"/>
      <c r="I286" s="840">
        <f>_xlfn.CEILING.MATH((I285+25*$Z$1),0.1)</f>
        <v>126.10000000000001</v>
      </c>
      <c r="J286" s="841"/>
      <c r="K286" s="521"/>
      <c r="L286" s="440"/>
      <c r="M286" s="244"/>
      <c r="X286"/>
      <c r="Y286"/>
    </row>
    <row r="287" spans="1:14" ht="15" customHeight="1">
      <c r="A287" s="243"/>
      <c r="B287" s="12" t="s">
        <v>78</v>
      </c>
      <c r="C287" s="840">
        <f>CEILING((C285*0.85),0.1)</f>
        <v>70.8</v>
      </c>
      <c r="D287" s="841"/>
      <c r="E287" s="840">
        <f>CEILING((E285*0.85),0.1)</f>
        <v>140.4</v>
      </c>
      <c r="F287" s="841"/>
      <c r="G287" s="840">
        <f>CEILING((G285*0.85),0.1)</f>
        <v>112.80000000000001</v>
      </c>
      <c r="H287" s="841"/>
      <c r="I287" s="840">
        <f>CEILING((I285*0.85),0.1)</f>
        <v>79.60000000000001</v>
      </c>
      <c r="J287" s="841"/>
      <c r="K287" s="521"/>
      <c r="L287" s="440"/>
      <c r="M287" s="22"/>
      <c r="N287" s="22"/>
    </row>
    <row r="288" spans="1:14" ht="15" customHeight="1">
      <c r="A288" s="243"/>
      <c r="B288" s="12" t="s">
        <v>107</v>
      </c>
      <c r="C288" s="842">
        <v>0</v>
      </c>
      <c r="D288" s="843"/>
      <c r="E288" s="840">
        <f>CEILING((E285*0.5),0.1)</f>
        <v>82.60000000000001</v>
      </c>
      <c r="F288" s="841"/>
      <c r="G288" s="840">
        <f>CEILING((G285*0.5),0.1)</f>
        <v>66.3</v>
      </c>
      <c r="H288" s="841"/>
      <c r="I288" s="842">
        <v>0</v>
      </c>
      <c r="J288" s="843"/>
      <c r="K288" s="521"/>
      <c r="L288" s="440"/>
      <c r="M288" s="22"/>
      <c r="N288" s="22"/>
    </row>
    <row r="289" spans="1:14" ht="15" customHeight="1">
      <c r="A289" s="243"/>
      <c r="B289" s="12" t="s">
        <v>340</v>
      </c>
      <c r="C289" s="840">
        <f>_xlfn.CEILING.MATH((C285+6*$Z$1),0.1)</f>
        <v>91</v>
      </c>
      <c r="D289" s="841"/>
      <c r="E289" s="840">
        <f>_xlfn.CEILING.MATH((E285+6*$Z$1),0.1)</f>
        <v>172.9</v>
      </c>
      <c r="F289" s="841"/>
      <c r="G289" s="840">
        <f>_xlfn.CEILING.MATH((G285+6*$Z$1),0.1)</f>
        <v>140.4</v>
      </c>
      <c r="H289" s="841"/>
      <c r="I289" s="840">
        <f>_xlfn.CEILING.MATH((I285+6*$Z$1),0.1)</f>
        <v>101.4</v>
      </c>
      <c r="J289" s="841"/>
      <c r="K289" s="521"/>
      <c r="L289" s="440"/>
      <c r="M289" s="22"/>
      <c r="N289" s="22"/>
    </row>
    <row r="290" spans="1:14" ht="15.75" thickBot="1">
      <c r="A290" s="73" t="s">
        <v>914</v>
      </c>
      <c r="B290" s="15" t="s">
        <v>341</v>
      </c>
      <c r="C290" s="846">
        <f>_xlfn.CEILING.MATH((C289+25*$Z$1),0.1)</f>
        <v>123.5</v>
      </c>
      <c r="D290" s="848"/>
      <c r="E290" s="846">
        <f>_xlfn.CEILING.MATH((E289+25*$Z$1),0.1)</f>
        <v>205.4</v>
      </c>
      <c r="F290" s="848"/>
      <c r="G290" s="846">
        <f>_xlfn.CEILING.MATH((G289+25*$Z$1),0.1)</f>
        <v>172.9</v>
      </c>
      <c r="H290" s="848"/>
      <c r="I290" s="846">
        <f>_xlfn.CEILING.MATH((I289+25*$Z$1),0.1)</f>
        <v>133.9</v>
      </c>
      <c r="J290" s="848"/>
      <c r="K290" s="521"/>
      <c r="L290" s="440"/>
      <c r="M290" s="22"/>
      <c r="N290" s="22"/>
    </row>
    <row r="291" spans="1:25" ht="18.75" customHeight="1" thickTop="1">
      <c r="A291" s="609" t="s">
        <v>781</v>
      </c>
      <c r="B291" s="610"/>
      <c r="C291" s="610"/>
      <c r="D291" s="610"/>
      <c r="E291" s="610"/>
      <c r="F291" s="610"/>
      <c r="G291" s="610"/>
      <c r="H291" s="610"/>
      <c r="I291" s="610"/>
      <c r="J291" s="610"/>
      <c r="K291" s="440"/>
      <c r="L291" s="440"/>
      <c r="M291" s="244"/>
      <c r="X291"/>
      <c r="Y291"/>
    </row>
    <row r="292" spans="1:23" s="724" customFormat="1" ht="18.75" customHeight="1">
      <c r="A292" s="248" t="s">
        <v>782</v>
      </c>
      <c r="B292" s="734"/>
      <c r="C292" s="734"/>
      <c r="D292" s="734"/>
      <c r="E292" s="734"/>
      <c r="F292" s="734"/>
      <c r="G292" s="734"/>
      <c r="H292" s="734"/>
      <c r="I292" s="734"/>
      <c r="J292" s="734"/>
      <c r="K292" s="440"/>
      <c r="L292" s="440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</row>
    <row r="293" spans="1:25" ht="18" customHeight="1">
      <c r="A293" s="248" t="s">
        <v>783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440"/>
      <c r="L293" s="440"/>
      <c r="M293" s="244"/>
      <c r="X293"/>
      <c r="Y293"/>
    </row>
    <row r="294" spans="1:25" ht="17.25" customHeight="1" thickBot="1">
      <c r="A294" s="74"/>
      <c r="B294" s="62"/>
      <c r="C294" s="2"/>
      <c r="D294" s="2"/>
      <c r="E294" s="2"/>
      <c r="F294" s="2"/>
      <c r="G294" s="2"/>
      <c r="H294" s="2"/>
      <c r="I294" s="2"/>
      <c r="J294" s="2"/>
      <c r="K294" s="440"/>
      <c r="L294" s="440"/>
      <c r="M294" s="244"/>
      <c r="X294"/>
      <c r="Y294"/>
    </row>
    <row r="295" spans="1:25" ht="27" customHeight="1" thickTop="1">
      <c r="A295" s="29" t="s">
        <v>74</v>
      </c>
      <c r="B295" s="55"/>
      <c r="C295" s="889" t="s">
        <v>665</v>
      </c>
      <c r="D295" s="890"/>
      <c r="E295" s="858" t="s">
        <v>716</v>
      </c>
      <c r="F295" s="859"/>
      <c r="G295" s="860" t="s">
        <v>721</v>
      </c>
      <c r="H295" s="861"/>
      <c r="I295" s="860" t="s">
        <v>668</v>
      </c>
      <c r="J295" s="862"/>
      <c r="K295" s="521"/>
      <c r="L295" s="440"/>
      <c r="M295" s="244"/>
      <c r="X295"/>
      <c r="Y295"/>
    </row>
    <row r="296" spans="1:25" ht="16.5" customHeight="1">
      <c r="A296" s="329" t="s">
        <v>361</v>
      </c>
      <c r="B296" s="45" t="s">
        <v>310</v>
      </c>
      <c r="C296" s="840">
        <f>CEILING(120*$Z$1,0.1)</f>
        <v>156</v>
      </c>
      <c r="D296" s="844"/>
      <c r="E296" s="840">
        <f>CEILING(175*$Z$1,0.1)</f>
        <v>227.5</v>
      </c>
      <c r="F296" s="844"/>
      <c r="G296" s="840">
        <f>CEILING(145*$Z$1,0.1)</f>
        <v>188.5</v>
      </c>
      <c r="H296" s="844"/>
      <c r="I296" s="840">
        <f>CEILING(140*$Z$1,0.1)</f>
        <v>182</v>
      </c>
      <c r="J296" s="844"/>
      <c r="K296" s="506"/>
      <c r="L296" s="128"/>
      <c r="M296" s="244"/>
      <c r="X296"/>
      <c r="Y296"/>
    </row>
    <row r="297" spans="1:25" ht="18" customHeight="1">
      <c r="A297" s="262" t="s">
        <v>76</v>
      </c>
      <c r="B297" s="14" t="s">
        <v>311</v>
      </c>
      <c r="C297" s="840">
        <f>_xlfn.CEILING.MATH((C296+40*$Z$1),0.1)</f>
        <v>208</v>
      </c>
      <c r="D297" s="841"/>
      <c r="E297" s="840">
        <f>_xlfn.CEILING.MATH((E296+40*$Z$1),0.1)</f>
        <v>279.5</v>
      </c>
      <c r="F297" s="841"/>
      <c r="G297" s="840">
        <f>_xlfn.CEILING.MATH((G296+40*$Z$1),0.1)</f>
        <v>240.5</v>
      </c>
      <c r="H297" s="841"/>
      <c r="I297" s="840">
        <f>_xlfn.CEILING.MATH((I296+40*$Z$1),0.1)</f>
        <v>234</v>
      </c>
      <c r="J297" s="841"/>
      <c r="K297" s="506"/>
      <c r="L297" s="128"/>
      <c r="M297" s="244"/>
      <c r="X297"/>
      <c r="Y297"/>
    </row>
    <row r="298" spans="1:25" ht="16.5" customHeight="1">
      <c r="A298" s="357"/>
      <c r="B298" s="14" t="s">
        <v>312</v>
      </c>
      <c r="C298" s="840">
        <f>_xlfn.CEILING.MATH((C296+60*$Z$1),0.1)</f>
        <v>234</v>
      </c>
      <c r="D298" s="841"/>
      <c r="E298" s="840">
        <f>_xlfn.CEILING.MATH((E296+60*$Z$1),0.1)</f>
        <v>305.5</v>
      </c>
      <c r="F298" s="841"/>
      <c r="G298" s="840">
        <f>_xlfn.CEILING.MATH((G296+60*$Z$1),0.1)</f>
        <v>266.5</v>
      </c>
      <c r="H298" s="841"/>
      <c r="I298" s="840">
        <f>_xlfn.CEILING.MATH((I296+60*$Z$1),0.1)</f>
        <v>260</v>
      </c>
      <c r="J298" s="841"/>
      <c r="K298" s="128"/>
      <c r="L298" s="128"/>
      <c r="M298" s="244"/>
      <c r="X298"/>
      <c r="Y298"/>
    </row>
    <row r="299" spans="1:25" ht="18" customHeight="1">
      <c r="A299" s="357"/>
      <c r="B299" s="14" t="s">
        <v>313</v>
      </c>
      <c r="C299" s="840">
        <f>_xlfn.CEILING.MATH((C298+80*$Z$1),0.1)</f>
        <v>338</v>
      </c>
      <c r="D299" s="841"/>
      <c r="E299" s="840">
        <f>_xlfn.CEILING.MATH((E298+80*$Z$1),0.1)</f>
        <v>409.5</v>
      </c>
      <c r="F299" s="841"/>
      <c r="G299" s="840">
        <f>_xlfn.CEILING.MATH((G298+80*$Z$1),0.1)</f>
        <v>370.5</v>
      </c>
      <c r="H299" s="841"/>
      <c r="I299" s="840">
        <f>_xlfn.CEILING.MATH((I298+80*$Z$1),0.1)</f>
        <v>364</v>
      </c>
      <c r="J299" s="841"/>
      <c r="K299" s="128"/>
      <c r="L299" s="128"/>
      <c r="M299" s="244"/>
      <c r="X299"/>
      <c r="Y299"/>
    </row>
    <row r="300" spans="1:25" ht="16.5" customHeight="1">
      <c r="A300" s="215"/>
      <c r="B300" s="14" t="s">
        <v>314</v>
      </c>
      <c r="C300" s="840">
        <f>_xlfn.CEILING.MATH((C296+80*$Z$1),0.1)</f>
        <v>260</v>
      </c>
      <c r="D300" s="841"/>
      <c r="E300" s="840">
        <f>_xlfn.CEILING.MATH((E296+80*$Z$1),0.1)</f>
        <v>331.5</v>
      </c>
      <c r="F300" s="841"/>
      <c r="G300" s="840">
        <f>_xlfn.CEILING.MATH((G296+80*$Z$1),0.1)</f>
        <v>292.5</v>
      </c>
      <c r="H300" s="841"/>
      <c r="I300" s="840">
        <f>_xlfn.CEILING.MATH((I296+80*$Z$1),0.1)</f>
        <v>286</v>
      </c>
      <c r="J300" s="841"/>
      <c r="K300" s="503"/>
      <c r="L300" s="241"/>
      <c r="M300" s="244"/>
      <c r="X300"/>
      <c r="Y300"/>
    </row>
    <row r="301" spans="1:25" ht="18" customHeight="1" thickBot="1">
      <c r="A301" s="199" t="s">
        <v>926</v>
      </c>
      <c r="B301" s="358" t="s">
        <v>315</v>
      </c>
      <c r="C301" s="846">
        <f>_xlfn.CEILING.MATH((C300+100*$Z$1),0.1)</f>
        <v>390</v>
      </c>
      <c r="D301" s="848"/>
      <c r="E301" s="846">
        <f>_xlfn.CEILING.MATH((E300+100*$Z$1),0.1)</f>
        <v>461.5</v>
      </c>
      <c r="F301" s="848"/>
      <c r="G301" s="846">
        <f>_xlfn.CEILING.MATH((G300+100*$Z$1),0.1)</f>
        <v>422.5</v>
      </c>
      <c r="H301" s="848"/>
      <c r="I301" s="846">
        <f>_xlfn.CEILING.MATH((I300+100*$Z$1),0.1)</f>
        <v>416</v>
      </c>
      <c r="J301" s="848"/>
      <c r="K301" s="241"/>
      <c r="L301" s="241"/>
      <c r="M301" s="244"/>
      <c r="X301"/>
      <c r="Y301"/>
    </row>
    <row r="302" spans="1:14" ht="15.75" thickTop="1">
      <c r="A302" s="302" t="s">
        <v>342</v>
      </c>
      <c r="B302" s="246"/>
      <c r="C302" s="246"/>
      <c r="D302" s="246"/>
      <c r="E302" s="246"/>
      <c r="F302" s="246"/>
      <c r="G302" s="246"/>
      <c r="H302" s="246"/>
      <c r="I302" s="246"/>
      <c r="J302" s="246"/>
      <c r="K302" s="503"/>
      <c r="L302" s="503"/>
      <c r="M302" s="22"/>
      <c r="N302" s="22"/>
    </row>
    <row r="303" spans="1:14" ht="15">
      <c r="A303" s="144" t="s">
        <v>343</v>
      </c>
      <c r="B303" s="24"/>
      <c r="C303" s="24"/>
      <c r="D303" s="24"/>
      <c r="E303" s="24"/>
      <c r="F303" s="24"/>
      <c r="G303" s="24"/>
      <c r="H303" s="24"/>
      <c r="I303" s="241"/>
      <c r="J303" s="241"/>
      <c r="K303" s="503"/>
      <c r="L303" s="503"/>
      <c r="M303" s="22"/>
      <c r="N303" s="22"/>
    </row>
    <row r="304" spans="1:14" ht="15.75" thickBot="1">
      <c r="A304" s="37"/>
      <c r="B304" s="37"/>
      <c r="C304" s="37"/>
      <c r="D304" s="37"/>
      <c r="E304" s="37"/>
      <c r="F304" s="37"/>
      <c r="G304" s="37"/>
      <c r="H304" s="37"/>
      <c r="I304" s="242"/>
      <c r="J304" s="242"/>
      <c r="K304" s="242"/>
      <c r="L304" s="242"/>
      <c r="M304" s="22"/>
      <c r="N304" s="22"/>
    </row>
    <row r="305" spans="1:25" ht="24.75" customHeight="1" thickTop="1">
      <c r="A305" s="93" t="s">
        <v>74</v>
      </c>
      <c r="B305" s="207"/>
      <c r="C305" s="852" t="s">
        <v>665</v>
      </c>
      <c r="D305" s="853"/>
      <c r="E305" s="852" t="s">
        <v>709</v>
      </c>
      <c r="F305" s="853"/>
      <c r="G305" s="852" t="s">
        <v>710</v>
      </c>
      <c r="H305" s="853"/>
      <c r="I305" s="852" t="s">
        <v>676</v>
      </c>
      <c r="J305" s="853"/>
      <c r="K305" s="852" t="s">
        <v>668</v>
      </c>
      <c r="L305" s="853"/>
      <c r="M305" s="244"/>
      <c r="X305"/>
      <c r="Y305"/>
    </row>
    <row r="306" spans="1:25" ht="15.75" customHeight="1">
      <c r="A306" s="200" t="s">
        <v>264</v>
      </c>
      <c r="B306" s="201" t="s">
        <v>113</v>
      </c>
      <c r="C306" s="840">
        <f>CEILING(84*$Z$1,0.1)</f>
        <v>109.2</v>
      </c>
      <c r="D306" s="844"/>
      <c r="E306" s="840">
        <f>CEILING(144*$Z$1,0.1)</f>
        <v>187.20000000000002</v>
      </c>
      <c r="F306" s="844"/>
      <c r="G306" s="840">
        <f>CEILING(111*$Z$1,0.1)</f>
        <v>144.3</v>
      </c>
      <c r="H306" s="844"/>
      <c r="I306" s="840">
        <f>CEILING(123*$Z$1,0.1)</f>
        <v>159.9</v>
      </c>
      <c r="J306" s="844"/>
      <c r="K306" s="840">
        <f>CEILING(86*$Z$1,0.1)</f>
        <v>111.80000000000001</v>
      </c>
      <c r="L306" s="844"/>
      <c r="M306" s="625"/>
      <c r="X306"/>
      <c r="Y306"/>
    </row>
    <row r="307" spans="1:25" ht="15">
      <c r="A307" s="202" t="s">
        <v>76</v>
      </c>
      <c r="B307" s="201" t="s">
        <v>114</v>
      </c>
      <c r="C307" s="840">
        <f>_xlfn.CEILING.MATH((C306+40*$Z$1),0.1)</f>
        <v>161.20000000000002</v>
      </c>
      <c r="D307" s="841"/>
      <c r="E307" s="840">
        <f>_xlfn.CEILING.MATH((E306+40*$Z$1),0.1)</f>
        <v>239.20000000000002</v>
      </c>
      <c r="F307" s="841"/>
      <c r="G307" s="840">
        <f>_xlfn.CEILING.MATH((G306+40*$Z$1),0.1)</f>
        <v>196.3</v>
      </c>
      <c r="H307" s="841"/>
      <c r="I307" s="840">
        <f>_xlfn.CEILING.MATH((I306+40*$Z$1),0.1)</f>
        <v>211.9</v>
      </c>
      <c r="J307" s="841"/>
      <c r="K307" s="840">
        <f>_xlfn.CEILING.MATH((K306+40*$Z$1),0.1)</f>
        <v>163.8</v>
      </c>
      <c r="L307" s="841"/>
      <c r="M307" s="244"/>
      <c r="X307"/>
      <c r="Y307"/>
    </row>
    <row r="308" spans="1:25" ht="15">
      <c r="A308" s="203"/>
      <c r="B308" s="204" t="s">
        <v>78</v>
      </c>
      <c r="C308" s="840">
        <f>CEILING((C306*0.85),0.1)</f>
        <v>92.9</v>
      </c>
      <c r="D308" s="841"/>
      <c r="E308" s="840">
        <f>CEILING((E306*0.85),0.1)</f>
        <v>159.20000000000002</v>
      </c>
      <c r="F308" s="841"/>
      <c r="G308" s="840">
        <f>CEILING((G306*0.85),0.1)</f>
        <v>122.7</v>
      </c>
      <c r="H308" s="841"/>
      <c r="I308" s="840">
        <f>CEILING((I306*0.85),0.1)</f>
        <v>136</v>
      </c>
      <c r="J308" s="841"/>
      <c r="K308" s="840">
        <f>CEILING((K306*0.85),0.1)</f>
        <v>95.10000000000001</v>
      </c>
      <c r="L308" s="841"/>
      <c r="M308" s="244"/>
      <c r="X308"/>
      <c r="Y308"/>
    </row>
    <row r="309" spans="1:25" ht="15">
      <c r="A309" s="243"/>
      <c r="B309" s="14" t="s">
        <v>160</v>
      </c>
      <c r="C309" s="840">
        <f>CEILING((C306*0.5),0.1)</f>
        <v>54.6</v>
      </c>
      <c r="D309" s="841"/>
      <c r="E309" s="840">
        <f>CEILING((E306*0.5),0.1)</f>
        <v>93.60000000000001</v>
      </c>
      <c r="F309" s="841"/>
      <c r="G309" s="840">
        <f>CEILING((G306*0.5),0.1)</f>
        <v>72.2</v>
      </c>
      <c r="H309" s="841"/>
      <c r="I309" s="840">
        <f>CEILING((I306*0.5),0.1)</f>
        <v>80</v>
      </c>
      <c r="J309" s="841"/>
      <c r="K309" s="840">
        <f>CEILING((K306*0.5),0.1)</f>
        <v>55.900000000000006</v>
      </c>
      <c r="L309" s="841"/>
      <c r="M309" s="244"/>
      <c r="X309"/>
      <c r="Y309"/>
    </row>
    <row r="310" spans="1:25" ht="15">
      <c r="A310" s="203"/>
      <c r="B310" s="206" t="s">
        <v>265</v>
      </c>
      <c r="C310" s="840">
        <f>_xlfn.CEILING.MATH((C306+45*$Z$1),0.1)</f>
        <v>167.70000000000002</v>
      </c>
      <c r="D310" s="841"/>
      <c r="E310" s="840">
        <f>_xlfn.CEILING.MATH((E306+45*$Z$1),0.1)</f>
        <v>245.70000000000002</v>
      </c>
      <c r="F310" s="841"/>
      <c r="G310" s="840">
        <f>_xlfn.CEILING.MATH((G306+45*$Z$1),0.1)</f>
        <v>202.8</v>
      </c>
      <c r="H310" s="841"/>
      <c r="I310" s="840">
        <f>_xlfn.CEILING.MATH((I306+45*$Z$1),0.1)</f>
        <v>218.4</v>
      </c>
      <c r="J310" s="841"/>
      <c r="K310" s="840">
        <f>_xlfn.CEILING.MATH((K306+45*$Z$1),0.1)</f>
        <v>170.3</v>
      </c>
      <c r="L310" s="841"/>
      <c r="M310" s="244"/>
      <c r="X310"/>
      <c r="Y310"/>
    </row>
    <row r="311" spans="1:25" ht="15">
      <c r="A311" s="203"/>
      <c r="B311" s="206" t="s">
        <v>266</v>
      </c>
      <c r="C311" s="840">
        <f>_xlfn.CEILING.MATH((C310+40*$Z$1),0.1)</f>
        <v>219.70000000000002</v>
      </c>
      <c r="D311" s="841"/>
      <c r="E311" s="840">
        <f>_xlfn.CEILING.MATH((E310+40*$Z$1),0.1)</f>
        <v>297.7</v>
      </c>
      <c r="F311" s="841"/>
      <c r="G311" s="840">
        <f>_xlfn.CEILING.MATH((G310+40*$Z$1),0.1)</f>
        <v>254.8</v>
      </c>
      <c r="H311" s="841"/>
      <c r="I311" s="840">
        <f>_xlfn.CEILING.MATH((I310+40*$Z$1),0.1)</f>
        <v>270.40000000000003</v>
      </c>
      <c r="J311" s="841"/>
      <c r="K311" s="840">
        <f>_xlfn.CEILING.MATH((K310+40*$Z$1),0.1)</f>
        <v>222.3</v>
      </c>
      <c r="L311" s="841"/>
      <c r="M311" s="244"/>
      <c r="X311"/>
      <c r="Y311"/>
    </row>
    <row r="312" spans="1:25" ht="15">
      <c r="A312" s="203"/>
      <c r="B312" s="206" t="s">
        <v>388</v>
      </c>
      <c r="C312" s="840">
        <f>_xlfn.CEILING.MATH((C306+75*$Z$1),0.1)</f>
        <v>206.70000000000002</v>
      </c>
      <c r="D312" s="841"/>
      <c r="E312" s="840">
        <f>_xlfn.CEILING.MATH((E306+75*$Z$1),0.1)</f>
        <v>284.7</v>
      </c>
      <c r="F312" s="841"/>
      <c r="G312" s="840">
        <f>_xlfn.CEILING.MATH((G306+75*$Z$1),0.1)</f>
        <v>241.8</v>
      </c>
      <c r="H312" s="841"/>
      <c r="I312" s="840">
        <f>_xlfn.CEILING.MATH((I306+75*$Z$1),0.1)</f>
        <v>257.40000000000003</v>
      </c>
      <c r="J312" s="841"/>
      <c r="K312" s="840">
        <f>_xlfn.CEILING.MATH((K306+75*$Z$1),0.1)</f>
        <v>209.3</v>
      </c>
      <c r="L312" s="841"/>
      <c r="M312" s="244"/>
      <c r="X312"/>
      <c r="Y312"/>
    </row>
    <row r="313" spans="1:25" ht="15.75" thickBot="1">
      <c r="A313" s="231" t="s">
        <v>949</v>
      </c>
      <c r="B313" s="253" t="s">
        <v>389</v>
      </c>
      <c r="C313" s="846">
        <f>_xlfn.CEILING.MATH((C312+40*$Z$1),0.1)</f>
        <v>258.7</v>
      </c>
      <c r="D313" s="848"/>
      <c r="E313" s="846">
        <f>_xlfn.CEILING.MATH((E312+40*$Z$1),0.1)</f>
        <v>336.70000000000005</v>
      </c>
      <c r="F313" s="848"/>
      <c r="G313" s="846">
        <f>_xlfn.CEILING.MATH((G312+40*$Z$1),0.1)</f>
        <v>293.8</v>
      </c>
      <c r="H313" s="848"/>
      <c r="I313" s="846">
        <f>_xlfn.CEILING.MATH((I312+40*$Z$1),0.1)</f>
        <v>309.40000000000003</v>
      </c>
      <c r="J313" s="848"/>
      <c r="K313" s="846">
        <f>_xlfn.CEILING.MATH((K312+40*$Z$1),0.1)</f>
        <v>261.3</v>
      </c>
      <c r="L313" s="848"/>
      <c r="M313" s="244"/>
      <c r="X313"/>
      <c r="Y313"/>
    </row>
    <row r="314" spans="1:25" ht="15.75" thickTop="1">
      <c r="A314" s="292" t="s">
        <v>712</v>
      </c>
      <c r="B314" s="356"/>
      <c r="C314" s="24"/>
      <c r="D314" s="24"/>
      <c r="E314" s="24"/>
      <c r="F314" s="24"/>
      <c r="G314" s="24"/>
      <c r="H314" s="24"/>
      <c r="I314" s="602"/>
      <c r="J314" s="602"/>
      <c r="K314" s="602"/>
      <c r="L314" s="602"/>
      <c r="M314" s="244"/>
      <c r="X314"/>
      <c r="Y314"/>
    </row>
    <row r="315" spans="1:23" s="724" customFormat="1" ht="15">
      <c r="A315" s="248" t="s">
        <v>713</v>
      </c>
      <c r="B315" s="24"/>
      <c r="C315" s="24"/>
      <c r="D315" s="24"/>
      <c r="E315" s="24"/>
      <c r="F315" s="24"/>
      <c r="G315" s="24"/>
      <c r="H315" s="24"/>
      <c r="I315" s="602"/>
      <c r="J315" s="602"/>
      <c r="K315" s="602"/>
      <c r="L315" s="602"/>
      <c r="M315" s="244"/>
      <c r="N315" s="244"/>
      <c r="O315" s="244"/>
      <c r="P315" s="244"/>
      <c r="Q315" s="244"/>
      <c r="R315" s="244"/>
      <c r="S315" s="244"/>
      <c r="T315" s="244"/>
      <c r="U315" s="244"/>
      <c r="V315" s="244"/>
      <c r="W315" s="244"/>
    </row>
    <row r="316" spans="1:25" ht="15">
      <c r="A316" s="248" t="s">
        <v>856</v>
      </c>
      <c r="B316" s="24"/>
      <c r="C316" s="24"/>
      <c r="D316" s="24"/>
      <c r="E316" s="24"/>
      <c r="F316" s="24"/>
      <c r="G316" s="24"/>
      <c r="H316" s="24"/>
      <c r="I316" s="600"/>
      <c r="J316" s="600"/>
      <c r="K316" s="555"/>
      <c r="L316" s="555"/>
      <c r="M316" s="244"/>
      <c r="X316"/>
      <c r="Y316"/>
    </row>
    <row r="317" spans="1:25" ht="15.75" thickBot="1">
      <c r="A317" s="390"/>
      <c r="B317" s="37"/>
      <c r="C317" s="24"/>
      <c r="D317" s="24"/>
      <c r="E317" s="24"/>
      <c r="F317" s="24"/>
      <c r="G317" s="24"/>
      <c r="H317" s="24"/>
      <c r="I317" s="600"/>
      <c r="J317" s="600"/>
      <c r="K317" s="618"/>
      <c r="L317" s="618"/>
      <c r="M317" s="244"/>
      <c r="X317"/>
      <c r="Y317"/>
    </row>
    <row r="318" spans="1:25" ht="25.5" customHeight="1" thickTop="1">
      <c r="A318" s="93" t="s">
        <v>74</v>
      </c>
      <c r="B318" s="301"/>
      <c r="C318" s="852" t="s">
        <v>665</v>
      </c>
      <c r="D318" s="853"/>
      <c r="E318" s="852" t="s">
        <v>709</v>
      </c>
      <c r="F318" s="853"/>
      <c r="G318" s="852" t="s">
        <v>710</v>
      </c>
      <c r="H318" s="853"/>
      <c r="I318" s="852" t="s">
        <v>676</v>
      </c>
      <c r="J318" s="853"/>
      <c r="K318" s="852" t="s">
        <v>668</v>
      </c>
      <c r="L318" s="853"/>
      <c r="M318" s="244"/>
      <c r="X318"/>
      <c r="Y318"/>
    </row>
    <row r="319" spans="1:14" ht="15.75" customHeight="1">
      <c r="A319" s="200" t="s">
        <v>40</v>
      </c>
      <c r="B319" s="325" t="s">
        <v>113</v>
      </c>
      <c r="C319" s="840">
        <f>CEILING(94*$Z$1,0.1)</f>
        <v>122.2</v>
      </c>
      <c r="D319" s="844"/>
      <c r="E319" s="840">
        <f>CEILING(154*$Z$1,0.1)</f>
        <v>200.20000000000002</v>
      </c>
      <c r="F319" s="844"/>
      <c r="G319" s="840">
        <f>CEILING(121*$Z$1,0.1)</f>
        <v>157.3</v>
      </c>
      <c r="H319" s="844"/>
      <c r="I319" s="840">
        <f>CEILING(133*$Z$1,0.1)</f>
        <v>172.9</v>
      </c>
      <c r="J319" s="844"/>
      <c r="K319" s="840">
        <f>CEILING(96*$Z$1,0.1)</f>
        <v>124.80000000000001</v>
      </c>
      <c r="L319" s="844"/>
      <c r="M319" s="23"/>
      <c r="N319" s="22"/>
    </row>
    <row r="320" spans="1:25" ht="15.75" customHeight="1">
      <c r="A320" s="202" t="s">
        <v>76</v>
      </c>
      <c r="B320" s="201" t="s">
        <v>114</v>
      </c>
      <c r="C320" s="840">
        <f>_xlfn.CEILING.MATH((C319+40*$Z$1),0.1)</f>
        <v>174.20000000000002</v>
      </c>
      <c r="D320" s="841"/>
      <c r="E320" s="840">
        <f>_xlfn.CEILING.MATH((E319+40*$Z$1),0.1)</f>
        <v>252.20000000000002</v>
      </c>
      <c r="F320" s="841"/>
      <c r="G320" s="840">
        <f>_xlfn.CEILING.MATH((G319+40*$Z$1),0.1)</f>
        <v>209.3</v>
      </c>
      <c r="H320" s="841"/>
      <c r="I320" s="840">
        <f>_xlfn.CEILING.MATH((I319+40*$Z$1),0.1)</f>
        <v>224.9</v>
      </c>
      <c r="J320" s="841"/>
      <c r="K320" s="840">
        <f>_xlfn.CEILING.MATH((K319+40*$Z$1),0.1)</f>
        <v>176.8</v>
      </c>
      <c r="L320" s="841"/>
      <c r="M320" s="244"/>
      <c r="X320"/>
      <c r="Y320"/>
    </row>
    <row r="321" spans="1:25" ht="17.25" customHeight="1">
      <c r="A321" s="203"/>
      <c r="B321" s="204" t="s">
        <v>78</v>
      </c>
      <c r="C321" s="840">
        <f>CEILING((C319*0.85),0.1)</f>
        <v>103.9</v>
      </c>
      <c r="D321" s="841"/>
      <c r="E321" s="840">
        <f>CEILING((E319*0.85),0.1)</f>
        <v>170.20000000000002</v>
      </c>
      <c r="F321" s="841"/>
      <c r="G321" s="840">
        <f>CEILING((G319*0.85),0.1)</f>
        <v>133.8</v>
      </c>
      <c r="H321" s="841"/>
      <c r="I321" s="840">
        <f>CEILING((I319*0.85),0.1)</f>
        <v>147</v>
      </c>
      <c r="J321" s="841"/>
      <c r="K321" s="840">
        <f>CEILING((K319*0.85),0.1)</f>
        <v>106.10000000000001</v>
      </c>
      <c r="L321" s="841"/>
      <c r="M321" s="244"/>
      <c r="X321"/>
      <c r="Y321"/>
    </row>
    <row r="322" spans="1:25" ht="15">
      <c r="A322" s="330"/>
      <c r="B322" s="14" t="s">
        <v>160</v>
      </c>
      <c r="C322" s="840">
        <f>CEILING((C319*0.5),0.1)</f>
        <v>61.1</v>
      </c>
      <c r="D322" s="841"/>
      <c r="E322" s="840">
        <f>CEILING((E319*0.5),0.1)</f>
        <v>100.10000000000001</v>
      </c>
      <c r="F322" s="841"/>
      <c r="G322" s="840">
        <f>CEILING((G319*0.5),0.1)</f>
        <v>78.7</v>
      </c>
      <c r="H322" s="841"/>
      <c r="I322" s="840">
        <f>CEILING((I319*0.5),0.1)</f>
        <v>86.5</v>
      </c>
      <c r="J322" s="841"/>
      <c r="K322" s="840">
        <f>CEILING((K319*0.5),0.1)</f>
        <v>62.400000000000006</v>
      </c>
      <c r="L322" s="841"/>
      <c r="M322" s="244"/>
      <c r="X322"/>
      <c r="Y322"/>
    </row>
    <row r="323" spans="1:25" ht="15">
      <c r="A323" s="203"/>
      <c r="B323" s="206" t="s">
        <v>265</v>
      </c>
      <c r="C323" s="840">
        <f>_xlfn.CEILING.MATH((C319+45*$Z$1),0.1)</f>
        <v>180.70000000000002</v>
      </c>
      <c r="D323" s="841"/>
      <c r="E323" s="840">
        <f>_xlfn.CEILING.MATH((E319+45*$Z$1),0.1)</f>
        <v>258.7</v>
      </c>
      <c r="F323" s="841"/>
      <c r="G323" s="840">
        <f>_xlfn.CEILING.MATH((G319+45*$Z$1),0.1)</f>
        <v>215.8</v>
      </c>
      <c r="H323" s="841"/>
      <c r="I323" s="840">
        <f>_xlfn.CEILING.MATH((I319+45*$Z$1),0.1)</f>
        <v>231.4</v>
      </c>
      <c r="J323" s="841"/>
      <c r="K323" s="840">
        <f>_xlfn.CEILING.MATH((K319+45*$Z$1),0.1)</f>
        <v>183.3</v>
      </c>
      <c r="L323" s="841"/>
      <c r="M323" s="244"/>
      <c r="X323"/>
      <c r="Y323"/>
    </row>
    <row r="324" spans="1:25" ht="15">
      <c r="A324" s="705"/>
      <c r="B324" s="206" t="s">
        <v>266</v>
      </c>
      <c r="C324" s="840">
        <f>_xlfn.CEILING.MATH((C323+40*$Z$1),0.1)</f>
        <v>232.70000000000002</v>
      </c>
      <c r="D324" s="841"/>
      <c r="E324" s="840">
        <f>_xlfn.CEILING.MATH((E323+40*$Z$1),0.1)</f>
        <v>310.70000000000005</v>
      </c>
      <c r="F324" s="841"/>
      <c r="G324" s="840">
        <f>_xlfn.CEILING.MATH((G323+40*$Z$1),0.1)</f>
        <v>267.8</v>
      </c>
      <c r="H324" s="841"/>
      <c r="I324" s="840">
        <f>_xlfn.CEILING.MATH((I323+40*$Z$1),0.1)</f>
        <v>283.40000000000003</v>
      </c>
      <c r="J324" s="841"/>
      <c r="K324" s="840">
        <f>_xlfn.CEILING.MATH((K323+40*$Z$1),0.1)</f>
        <v>235.3</v>
      </c>
      <c r="L324" s="841"/>
      <c r="M324" s="244"/>
      <c r="X324"/>
      <c r="Y324"/>
    </row>
    <row r="325" spans="1:25" ht="15">
      <c r="A325" s="706"/>
      <c r="B325" s="206" t="s">
        <v>390</v>
      </c>
      <c r="C325" s="840">
        <f>_xlfn.CEILING.MATH((C319+60*$Z$1),0.1)</f>
        <v>200.20000000000002</v>
      </c>
      <c r="D325" s="841"/>
      <c r="E325" s="840">
        <f>_xlfn.CEILING.MATH((E319+60*$Z$1),0.1)</f>
        <v>278.2</v>
      </c>
      <c r="F325" s="841"/>
      <c r="G325" s="840">
        <f>_xlfn.CEILING.MATH((G319+60*$Z$1),0.1)</f>
        <v>235.3</v>
      </c>
      <c r="H325" s="841"/>
      <c r="I325" s="840">
        <f>_xlfn.CEILING.MATH((I319+60*$Z$1),0.1)</f>
        <v>250.9</v>
      </c>
      <c r="J325" s="841"/>
      <c r="K325" s="840">
        <f>_xlfn.CEILING.MATH((K319+60*$Z$1),0.1)</f>
        <v>202.8</v>
      </c>
      <c r="L325" s="841"/>
      <c r="M325" s="244"/>
      <c r="X325"/>
      <c r="Y325"/>
    </row>
    <row r="326" spans="1:25" ht="15">
      <c r="A326" s="725"/>
      <c r="B326" s="206" t="s">
        <v>391</v>
      </c>
      <c r="C326" s="840">
        <f>_xlfn.CEILING.MATH((C325+40*$Z$1),0.1)</f>
        <v>252.20000000000002</v>
      </c>
      <c r="D326" s="841"/>
      <c r="E326" s="840">
        <f>_xlfn.CEILING.MATH((E325+40*$Z$1),0.1)</f>
        <v>330.20000000000005</v>
      </c>
      <c r="F326" s="841"/>
      <c r="G326" s="840">
        <f>_xlfn.CEILING.MATH((G325+40*$Z$1),0.1)</f>
        <v>287.3</v>
      </c>
      <c r="H326" s="841"/>
      <c r="I326" s="840">
        <f>_xlfn.CEILING.MATH((I325+40*$Z$1),0.1)</f>
        <v>302.90000000000003</v>
      </c>
      <c r="J326" s="841"/>
      <c r="K326" s="840">
        <f>_xlfn.CEILING.MATH((K325+40*$Z$1),0.1)</f>
        <v>254.8</v>
      </c>
      <c r="L326" s="841"/>
      <c r="M326" s="244"/>
      <c r="X326"/>
      <c r="Y326"/>
    </row>
    <row r="327" spans="1:25" ht="15">
      <c r="A327" s="433"/>
      <c r="B327" s="206" t="s">
        <v>392</v>
      </c>
      <c r="C327" s="840">
        <f>_xlfn.CEILING.MATH((C319+70*$Z$1),0.1)</f>
        <v>213.20000000000002</v>
      </c>
      <c r="D327" s="841"/>
      <c r="E327" s="840">
        <f>_xlfn.CEILING.MATH((E319+70*$Z$1),0.1)</f>
        <v>291.2</v>
      </c>
      <c r="F327" s="841"/>
      <c r="G327" s="840">
        <f>_xlfn.CEILING.MATH((G319+70*$Z$1),0.1)</f>
        <v>248.3</v>
      </c>
      <c r="H327" s="841"/>
      <c r="I327" s="840">
        <f>_xlfn.CEILING.MATH((I319+70*$Z$1),0.1)</f>
        <v>263.90000000000003</v>
      </c>
      <c r="J327" s="841"/>
      <c r="K327" s="840">
        <f>_xlfn.CEILING.MATH((K319+70*$Z$1),0.1)</f>
        <v>215.8</v>
      </c>
      <c r="L327" s="841"/>
      <c r="M327" s="244"/>
      <c r="X327"/>
      <c r="Y327"/>
    </row>
    <row r="328" spans="1:25" ht="15">
      <c r="A328" s="433"/>
      <c r="B328" s="206" t="s">
        <v>393</v>
      </c>
      <c r="C328" s="840">
        <f>_xlfn.CEILING.MATH((C327+40*$Z$1),0.1)</f>
        <v>265.2</v>
      </c>
      <c r="D328" s="841"/>
      <c r="E328" s="840">
        <f>_xlfn.CEILING.MATH((E327+40*$Z$1),0.1)</f>
        <v>343.20000000000005</v>
      </c>
      <c r="F328" s="841"/>
      <c r="G328" s="840">
        <f>_xlfn.CEILING.MATH((G327+40*$Z$1),0.1)</f>
        <v>300.3</v>
      </c>
      <c r="H328" s="841"/>
      <c r="I328" s="840">
        <f>_xlfn.CEILING.MATH((I327+40*$Z$1),0.1)</f>
        <v>315.90000000000003</v>
      </c>
      <c r="J328" s="841"/>
      <c r="K328" s="840">
        <f>_xlfn.CEILING.MATH((K327+40*$Z$1),0.1)</f>
        <v>267.8</v>
      </c>
      <c r="L328" s="841"/>
      <c r="M328" s="244"/>
      <c r="X328"/>
      <c r="Y328"/>
    </row>
    <row r="329" spans="1:25" ht="15">
      <c r="A329" s="433"/>
      <c r="B329" s="206" t="s">
        <v>394</v>
      </c>
      <c r="C329" s="840">
        <f>_xlfn.CEILING.MATH((C319+135*$Z$1),0.1)</f>
        <v>297.7</v>
      </c>
      <c r="D329" s="841"/>
      <c r="E329" s="840">
        <f>_xlfn.CEILING.MATH((E319+135*$Z$1),0.1)</f>
        <v>375.70000000000005</v>
      </c>
      <c r="F329" s="841"/>
      <c r="G329" s="840">
        <f>_xlfn.CEILING.MATH((G319+135*$Z$1),0.1)</f>
        <v>332.8</v>
      </c>
      <c r="H329" s="841"/>
      <c r="I329" s="840">
        <f>_xlfn.CEILING.MATH((I319+135*$Z$1),0.1)</f>
        <v>348.40000000000003</v>
      </c>
      <c r="J329" s="841"/>
      <c r="K329" s="840">
        <f>_xlfn.CEILING.MATH((K319+135*$Z$1),0.1)</f>
        <v>300.3</v>
      </c>
      <c r="L329" s="841"/>
      <c r="M329" s="244"/>
      <c r="X329"/>
      <c r="Y329"/>
    </row>
    <row r="330" spans="1:25" ht="15.75" thickBot="1">
      <c r="A330" s="231" t="s">
        <v>949</v>
      </c>
      <c r="B330" s="253" t="s">
        <v>395</v>
      </c>
      <c r="C330" s="846">
        <f>_xlfn.CEILING.MATH((C329+40*$Z$1),0.1)</f>
        <v>349.70000000000005</v>
      </c>
      <c r="D330" s="848"/>
      <c r="E330" s="846">
        <f>_xlfn.CEILING.MATH((E329+40*$Z$1),0.1)</f>
        <v>427.70000000000005</v>
      </c>
      <c r="F330" s="848"/>
      <c r="G330" s="846">
        <f>_xlfn.CEILING.MATH((G329+40*$Z$1),0.1)</f>
        <v>384.8</v>
      </c>
      <c r="H330" s="848"/>
      <c r="I330" s="846">
        <f>_xlfn.CEILING.MATH((I329+40*$Z$1),0.1)</f>
        <v>400.40000000000003</v>
      </c>
      <c r="J330" s="848"/>
      <c r="K330" s="846">
        <f>_xlfn.CEILING.MATH((K329+40*$Z$1),0.1)</f>
        <v>352.3</v>
      </c>
      <c r="L330" s="848"/>
      <c r="M330" s="244"/>
      <c r="X330"/>
      <c r="Y330"/>
    </row>
    <row r="331" spans="1:14" ht="15.75" thickTop="1">
      <c r="A331" s="292" t="s">
        <v>712</v>
      </c>
      <c r="B331" s="718"/>
      <c r="C331" s="248"/>
      <c r="D331" s="248"/>
      <c r="E331" s="3"/>
      <c r="F331" s="3"/>
      <c r="G331" s="3"/>
      <c r="H331" s="3"/>
      <c r="I331" s="3"/>
      <c r="J331" s="3"/>
      <c r="K331" s="389"/>
      <c r="L331" s="389"/>
      <c r="M331" s="22"/>
      <c r="N331" s="22"/>
    </row>
    <row r="332" spans="1:25" s="724" customFormat="1" ht="15">
      <c r="A332" s="248" t="s">
        <v>711</v>
      </c>
      <c r="B332" s="248"/>
      <c r="C332" s="248"/>
      <c r="D332" s="248"/>
      <c r="E332" s="3"/>
      <c r="F332" s="3"/>
      <c r="G332" s="3"/>
      <c r="H332" s="3"/>
      <c r="I332" s="3"/>
      <c r="J332" s="3"/>
      <c r="K332" s="389"/>
      <c r="L332" s="389"/>
      <c r="M332" s="22"/>
      <c r="N332" s="22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</row>
    <row r="333" spans="1:25" s="724" customFormat="1" ht="15">
      <c r="A333" s="248" t="s">
        <v>855</v>
      </c>
      <c r="B333" s="248"/>
      <c r="C333" s="248"/>
      <c r="D333" s="248"/>
      <c r="E333" s="3"/>
      <c r="F333" s="3"/>
      <c r="G333" s="3"/>
      <c r="H333" s="3"/>
      <c r="I333" s="3"/>
      <c r="J333" s="3"/>
      <c r="K333" s="389"/>
      <c r="L333" s="389"/>
      <c r="M333" s="22"/>
      <c r="N333" s="22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</row>
    <row r="334" spans="1:14" ht="15.75" thickBot="1">
      <c r="A334" s="365"/>
      <c r="B334" s="409"/>
      <c r="C334" s="409"/>
      <c r="D334" s="409"/>
      <c r="E334" s="2"/>
      <c r="F334" s="2"/>
      <c r="G334" s="2"/>
      <c r="H334" s="2"/>
      <c r="I334" s="2"/>
      <c r="J334" s="2"/>
      <c r="K334" s="389"/>
      <c r="L334" s="389"/>
      <c r="M334" s="22"/>
      <c r="N334" s="22"/>
    </row>
    <row r="335" spans="1:14" ht="22.5" customHeight="1" thickTop="1">
      <c r="A335" s="93" t="s">
        <v>74</v>
      </c>
      <c r="B335" s="207"/>
      <c r="C335" s="889" t="s">
        <v>665</v>
      </c>
      <c r="D335" s="890"/>
      <c r="E335" s="858" t="s">
        <v>716</v>
      </c>
      <c r="F335" s="859"/>
      <c r="G335" s="860" t="s">
        <v>721</v>
      </c>
      <c r="H335" s="861"/>
      <c r="I335" s="860" t="s">
        <v>668</v>
      </c>
      <c r="J335" s="862"/>
      <c r="K335" s="506"/>
      <c r="L335" s="128"/>
      <c r="M335" s="22"/>
      <c r="N335" s="22"/>
    </row>
    <row r="336" spans="1:14" ht="16.5" customHeight="1">
      <c r="A336" s="200" t="s">
        <v>42</v>
      </c>
      <c r="B336" s="201" t="s">
        <v>82</v>
      </c>
      <c r="C336" s="840">
        <f>CEILING(60*$Z$1,0.1)</f>
        <v>78</v>
      </c>
      <c r="D336" s="844"/>
      <c r="E336" s="840">
        <f>CEILING(112*$Z$1,0.1)</f>
        <v>145.6</v>
      </c>
      <c r="F336" s="844"/>
      <c r="G336" s="840">
        <f>CEILING(82*$Z$1,0.1)</f>
        <v>106.60000000000001</v>
      </c>
      <c r="H336" s="844"/>
      <c r="I336" s="840">
        <f>CEILING(71*$Z$1,0.1)</f>
        <v>92.30000000000001</v>
      </c>
      <c r="J336" s="844"/>
      <c r="K336" s="506"/>
      <c r="L336" s="128"/>
      <c r="M336" s="22"/>
      <c r="N336" s="22"/>
    </row>
    <row r="337" spans="1:14" ht="18" customHeight="1">
      <c r="A337" s="202" t="s">
        <v>76</v>
      </c>
      <c r="B337" s="201" t="s">
        <v>83</v>
      </c>
      <c r="C337" s="840">
        <f>_xlfn.CEILING.MATH((C336+25*$Z$1),0.1)</f>
        <v>110.5</v>
      </c>
      <c r="D337" s="841"/>
      <c r="E337" s="840">
        <f>_xlfn.CEILING.MATH((E336+25*$Z$1),0.1)</f>
        <v>178.10000000000002</v>
      </c>
      <c r="F337" s="841"/>
      <c r="G337" s="840">
        <f>_xlfn.CEILING.MATH((G336+25*$Z$1),0.1)</f>
        <v>139.1</v>
      </c>
      <c r="H337" s="841"/>
      <c r="I337" s="840">
        <f>_xlfn.CEILING.MATH((I336+25*$Z$1),0.1)</f>
        <v>124.80000000000001</v>
      </c>
      <c r="J337" s="841"/>
      <c r="K337" s="506"/>
      <c r="L337" s="128"/>
      <c r="M337" s="22"/>
      <c r="N337" s="22"/>
    </row>
    <row r="338" spans="1:14" ht="16.5" customHeight="1">
      <c r="A338" s="203"/>
      <c r="B338" s="204" t="s">
        <v>78</v>
      </c>
      <c r="C338" s="840">
        <f>CEILING((C336*0.85),0.1)</f>
        <v>66.3</v>
      </c>
      <c r="D338" s="841"/>
      <c r="E338" s="840">
        <f>CEILING((E336*0.85),0.1)</f>
        <v>123.80000000000001</v>
      </c>
      <c r="F338" s="841"/>
      <c r="G338" s="840">
        <f>CEILING((G336*0.85),0.1)</f>
        <v>90.7</v>
      </c>
      <c r="H338" s="841"/>
      <c r="I338" s="840">
        <f>CEILING((I336*0.85),0.1)</f>
        <v>78.5</v>
      </c>
      <c r="J338" s="841"/>
      <c r="K338" s="128"/>
      <c r="L338" s="128"/>
      <c r="M338" s="22"/>
      <c r="N338" s="22"/>
    </row>
    <row r="339" spans="1:14" ht="18" customHeight="1">
      <c r="A339" s="203"/>
      <c r="B339" s="201" t="s">
        <v>115</v>
      </c>
      <c r="C339" s="840">
        <f>CEILING((C336*0.5),0.1)</f>
        <v>39</v>
      </c>
      <c r="D339" s="841"/>
      <c r="E339" s="840">
        <f>CEILING((E336*0.5),0.1)</f>
        <v>72.8</v>
      </c>
      <c r="F339" s="841"/>
      <c r="G339" s="840">
        <f>CEILING((G336*0.5),0.1)</f>
        <v>53.300000000000004</v>
      </c>
      <c r="H339" s="841"/>
      <c r="I339" s="840">
        <f>CEILING((I336*0.5),0.1)</f>
        <v>46.2</v>
      </c>
      <c r="J339" s="841"/>
      <c r="K339" s="128"/>
      <c r="L339" s="128"/>
      <c r="M339" s="22"/>
      <c r="N339" s="22"/>
    </row>
    <row r="340" spans="1:14" ht="18.75" customHeight="1">
      <c r="A340" s="203"/>
      <c r="B340" s="212" t="s">
        <v>397</v>
      </c>
      <c r="C340" s="840">
        <f>_xlfn.CEILING.MATH((C336+30*$Z$1),0.1)</f>
        <v>117</v>
      </c>
      <c r="D340" s="841"/>
      <c r="E340" s="840">
        <f>_xlfn.CEILING.MATH((E336+30*$Z$1),0.1)</f>
        <v>184.60000000000002</v>
      </c>
      <c r="F340" s="841"/>
      <c r="G340" s="840">
        <f>_xlfn.CEILING.MATH((G336+30*$Z$1),0.1)</f>
        <v>145.6</v>
      </c>
      <c r="H340" s="841"/>
      <c r="I340" s="840">
        <f>_xlfn.CEILING.MATH((I336+30*$Z$1),0.1)</f>
        <v>131.3</v>
      </c>
      <c r="J340" s="841"/>
      <c r="K340" s="128"/>
      <c r="L340" s="128"/>
      <c r="M340" s="22"/>
      <c r="N340" s="22"/>
    </row>
    <row r="341" spans="1:14" ht="18" customHeight="1">
      <c r="A341" s="203"/>
      <c r="B341" s="212" t="s">
        <v>396</v>
      </c>
      <c r="C341" s="840">
        <f>_xlfn.CEILING.MATH((C351+30*$Z$1),0.1)</f>
        <v>154.70000000000002</v>
      </c>
      <c r="D341" s="841"/>
      <c r="E341" s="840">
        <f>_xlfn.CEILING.MATH((E351+30*$Z$1),0.1)</f>
        <v>218.4</v>
      </c>
      <c r="F341" s="841"/>
      <c r="G341" s="840">
        <f>_xlfn.CEILING.MATH((G351+30*$Z$1),0.1)</f>
        <v>184.60000000000002</v>
      </c>
      <c r="H341" s="841"/>
      <c r="I341" s="840">
        <f>_xlfn.CEILING.MATH((I351+30*$Z$1),0.1)</f>
        <v>165.10000000000002</v>
      </c>
      <c r="J341" s="841"/>
      <c r="K341" s="128"/>
      <c r="L341" s="128"/>
      <c r="M341" s="931"/>
      <c r="N341" s="931"/>
    </row>
    <row r="342" spans="1:14" ht="18" customHeight="1">
      <c r="A342" s="433"/>
      <c r="B342" s="212" t="s">
        <v>41</v>
      </c>
      <c r="C342" s="840">
        <f>_xlfn.CEILING.MATH((C336+50*$Z$1),0.1)</f>
        <v>143</v>
      </c>
      <c r="D342" s="841"/>
      <c r="E342" s="840">
        <f>_xlfn.CEILING.MATH((E336+50*$Z$1),0.1)</f>
        <v>210.60000000000002</v>
      </c>
      <c r="F342" s="841"/>
      <c r="G342" s="840">
        <f>_xlfn.CEILING.MATH((G336+50*$Z$1),0.1)</f>
        <v>171.60000000000002</v>
      </c>
      <c r="H342" s="841"/>
      <c r="I342" s="840">
        <f>_xlfn.CEILING.MATH((I336+50*$Z$1),0.1)</f>
        <v>157.3</v>
      </c>
      <c r="J342" s="841"/>
      <c r="K342" s="128"/>
      <c r="L342" s="128"/>
      <c r="M342" s="845"/>
      <c r="N342" s="845"/>
    </row>
    <row r="343" spans="1:14" ht="17.25" customHeight="1" thickBot="1">
      <c r="A343" s="388" t="s">
        <v>926</v>
      </c>
      <c r="B343" s="208" t="s">
        <v>398</v>
      </c>
      <c r="C343" s="846">
        <f>_xlfn.CEILING.MATH((C342+40*$Z$1),0.1)</f>
        <v>195</v>
      </c>
      <c r="D343" s="848"/>
      <c r="E343" s="846">
        <f>_xlfn.CEILING.MATH((E342+40*$Z$1),0.1)</f>
        <v>262.6</v>
      </c>
      <c r="F343" s="848"/>
      <c r="G343" s="846">
        <f>_xlfn.CEILING.MATH((G342+40*$Z$1),0.1)</f>
        <v>223.60000000000002</v>
      </c>
      <c r="H343" s="848"/>
      <c r="I343" s="846">
        <f>_xlfn.CEILING.MATH((I342+40*$Z$1),0.1)</f>
        <v>209.3</v>
      </c>
      <c r="J343" s="848"/>
      <c r="K343" s="128"/>
      <c r="L343" s="128"/>
      <c r="M343" s="845"/>
      <c r="N343" s="845"/>
    </row>
    <row r="344" spans="1:14" ht="18.75" customHeight="1" thickTop="1">
      <c r="A344" s="144" t="s">
        <v>986</v>
      </c>
      <c r="B344" s="367"/>
      <c r="C344" s="3"/>
      <c r="D344" s="3"/>
      <c r="E344" s="3"/>
      <c r="F344" s="3"/>
      <c r="G344" s="3"/>
      <c r="H344" s="3"/>
      <c r="I344" s="3"/>
      <c r="J344" s="3"/>
      <c r="K344" s="490"/>
      <c r="L344" s="490"/>
      <c r="M344" s="845"/>
      <c r="N344" s="845"/>
    </row>
    <row r="345" spans="1:14" ht="20.25" customHeight="1" thickBot="1">
      <c r="A345" s="223"/>
      <c r="B345" s="224"/>
      <c r="C345" s="2"/>
      <c r="D345" s="2"/>
      <c r="E345" s="2"/>
      <c r="F345" s="2"/>
      <c r="G345" s="2"/>
      <c r="H345" s="2"/>
      <c r="I345" s="2"/>
      <c r="J345" s="2"/>
      <c r="K345" s="440"/>
      <c r="L345" s="440"/>
      <c r="M345" s="845"/>
      <c r="N345" s="845"/>
    </row>
    <row r="346" spans="1:14" ht="22.5" customHeight="1" thickTop="1">
      <c r="A346" s="93" t="s">
        <v>74</v>
      </c>
      <c r="B346" s="207"/>
      <c r="C346" s="889" t="s">
        <v>665</v>
      </c>
      <c r="D346" s="890"/>
      <c r="E346" s="858" t="s">
        <v>716</v>
      </c>
      <c r="F346" s="859"/>
      <c r="G346" s="860" t="s">
        <v>721</v>
      </c>
      <c r="H346" s="861"/>
      <c r="I346" s="860" t="s">
        <v>668</v>
      </c>
      <c r="J346" s="862"/>
      <c r="K346" s="523"/>
      <c r="L346" s="490"/>
      <c r="M346" s="845"/>
      <c r="N346" s="845"/>
    </row>
    <row r="347" spans="1:14" ht="15.75" customHeight="1">
      <c r="A347" s="324" t="s">
        <v>112</v>
      </c>
      <c r="B347" s="325" t="s">
        <v>113</v>
      </c>
      <c r="C347" s="840">
        <f>CEILING(49*$Z$1,0.1)</f>
        <v>63.7</v>
      </c>
      <c r="D347" s="844"/>
      <c r="E347" s="840">
        <f>CEILING(98*$Z$1,0.1)</f>
        <v>127.4</v>
      </c>
      <c r="F347" s="844"/>
      <c r="G347" s="840">
        <f>CEILING(72*$Z$1,0.1)</f>
        <v>93.60000000000001</v>
      </c>
      <c r="H347" s="844"/>
      <c r="I347" s="840">
        <f>CEILING(57*$Z$1,0.1)</f>
        <v>74.10000000000001</v>
      </c>
      <c r="J347" s="844"/>
      <c r="K347" s="521"/>
      <c r="L347" s="440"/>
      <c r="M347" s="845"/>
      <c r="N347" s="845"/>
    </row>
    <row r="348" spans="1:14" ht="17.25" customHeight="1">
      <c r="A348" s="326" t="s">
        <v>91</v>
      </c>
      <c r="B348" s="201" t="s">
        <v>114</v>
      </c>
      <c r="C348" s="840">
        <f>_xlfn.CEILING.MATH((C347+25*$Z$1),0.1)</f>
        <v>96.2</v>
      </c>
      <c r="D348" s="841"/>
      <c r="E348" s="840">
        <f>_xlfn.CEILING.MATH((E347+25*$Z$1),0.1)</f>
        <v>159.9</v>
      </c>
      <c r="F348" s="841"/>
      <c r="G348" s="840">
        <f>_xlfn.CEILING.MATH((G347+25*$Z$1),0.1)</f>
        <v>126.10000000000001</v>
      </c>
      <c r="H348" s="841"/>
      <c r="I348" s="840">
        <f>_xlfn.CEILING.MATH((I347+25*$Z$1),0.1)</f>
        <v>106.60000000000001</v>
      </c>
      <c r="J348" s="841"/>
      <c r="K348" s="521"/>
      <c r="L348" s="440"/>
      <c r="M348" s="3"/>
      <c r="N348" s="3"/>
    </row>
    <row r="349" spans="1:14" ht="17.25" customHeight="1">
      <c r="A349" s="243"/>
      <c r="B349" s="204" t="s">
        <v>78</v>
      </c>
      <c r="C349" s="840">
        <f>CEILING((C347*0.85),0.1)</f>
        <v>54.2</v>
      </c>
      <c r="D349" s="841"/>
      <c r="E349" s="840">
        <f>CEILING((E347*0.85),0.1)</f>
        <v>108.30000000000001</v>
      </c>
      <c r="F349" s="841"/>
      <c r="G349" s="840">
        <f>CEILING((G347*0.85),0.1)</f>
        <v>79.60000000000001</v>
      </c>
      <c r="H349" s="841"/>
      <c r="I349" s="840">
        <f>CEILING((I347*0.85),0.1)</f>
        <v>63</v>
      </c>
      <c r="J349" s="841"/>
      <c r="K349" s="521"/>
      <c r="L349" s="440"/>
      <c r="M349" s="3"/>
      <c r="N349" s="3"/>
    </row>
    <row r="350" spans="1:14" ht="17.25" customHeight="1">
      <c r="A350" s="326"/>
      <c r="B350" s="205" t="s">
        <v>115</v>
      </c>
      <c r="C350" s="840">
        <f>CEILING((C347*0.5),0.1)</f>
        <v>31.900000000000002</v>
      </c>
      <c r="D350" s="841"/>
      <c r="E350" s="840">
        <f>CEILING((E347*0.5),0.1)</f>
        <v>63.7</v>
      </c>
      <c r="F350" s="841"/>
      <c r="G350" s="840">
        <f>CEILING((G347*0.5),0.1)</f>
        <v>46.800000000000004</v>
      </c>
      <c r="H350" s="841"/>
      <c r="I350" s="840">
        <f>CEILING((I347*0.5),0.1)</f>
        <v>37.1</v>
      </c>
      <c r="J350" s="841"/>
      <c r="K350" s="521"/>
      <c r="L350" s="440"/>
      <c r="M350" s="3"/>
      <c r="N350" s="3"/>
    </row>
    <row r="351" spans="1:14" ht="17.25" customHeight="1">
      <c r="A351" s="326"/>
      <c r="B351" s="201" t="s">
        <v>88</v>
      </c>
      <c r="C351" s="840">
        <f>_xlfn.CEILING.MATH((C347+40*$Z$1),0.1)</f>
        <v>115.7</v>
      </c>
      <c r="D351" s="841"/>
      <c r="E351" s="840">
        <f>_xlfn.CEILING.MATH((E347+40*$Z$1),0.1)</f>
        <v>179.4</v>
      </c>
      <c r="F351" s="841"/>
      <c r="G351" s="840">
        <f>_xlfn.CEILING.MATH((G347+40*$Z$1),0.1)</f>
        <v>145.6</v>
      </c>
      <c r="H351" s="841"/>
      <c r="I351" s="840">
        <f>_xlfn.CEILING.MATH((I347+40*$Z$1),0.1)</f>
        <v>126.10000000000001</v>
      </c>
      <c r="J351" s="841"/>
      <c r="K351" s="521"/>
      <c r="L351" s="440"/>
      <c r="M351" s="845"/>
      <c r="N351" s="845"/>
    </row>
    <row r="352" spans="1:14" ht="16.5" customHeight="1" thickBot="1">
      <c r="A352" s="388" t="s">
        <v>948</v>
      </c>
      <c r="B352" s="208" t="s">
        <v>89</v>
      </c>
      <c r="C352" s="846">
        <f>_xlfn.CEILING.MATH((C351+40*$Z$1),0.1)</f>
        <v>167.70000000000002</v>
      </c>
      <c r="D352" s="848"/>
      <c r="E352" s="846">
        <f>_xlfn.CEILING.MATH((E351+40*$Z$1),0.1)</f>
        <v>231.4</v>
      </c>
      <c r="F352" s="848"/>
      <c r="G352" s="846">
        <f>_xlfn.CEILING.MATH((G351+40*$Z$1),0.1)</f>
        <v>197.60000000000002</v>
      </c>
      <c r="H352" s="848"/>
      <c r="I352" s="846">
        <f>_xlfn.CEILING.MATH((I351+40*$Z$1),0.1)</f>
        <v>178.10000000000002</v>
      </c>
      <c r="J352" s="848"/>
      <c r="K352" s="521"/>
      <c r="L352" s="440"/>
      <c r="M352" s="22"/>
      <c r="N352" s="22"/>
    </row>
    <row r="353" spans="1:25" s="724" customFormat="1" ht="16.5" customHeight="1" thickTop="1">
      <c r="A353" s="144" t="s">
        <v>725</v>
      </c>
      <c r="B353" s="367"/>
      <c r="C353" s="3"/>
      <c r="D353" s="3"/>
      <c r="E353" s="3"/>
      <c r="F353" s="3"/>
      <c r="G353" s="3"/>
      <c r="H353" s="3"/>
      <c r="I353" s="3"/>
      <c r="J353" s="3"/>
      <c r="K353" s="440"/>
      <c r="L353" s="440"/>
      <c r="M353" s="22"/>
      <c r="N353" s="22"/>
      <c r="O353" s="244"/>
      <c r="P353" s="244"/>
      <c r="Q353" s="244"/>
      <c r="R353" s="244"/>
      <c r="S353" s="244"/>
      <c r="T353" s="244"/>
      <c r="U353" s="244"/>
      <c r="V353" s="244"/>
      <c r="W353" s="244"/>
      <c r="X353" s="244"/>
      <c r="Y353" s="244"/>
    </row>
    <row r="354" spans="1:14" ht="17.25" customHeight="1" thickBot="1">
      <c r="A354" s="223"/>
      <c r="B354" s="272"/>
      <c r="C354" s="2"/>
      <c r="D354" s="2"/>
      <c r="E354" s="2"/>
      <c r="F354" s="2"/>
      <c r="G354" s="2"/>
      <c r="H354" s="2"/>
      <c r="I354" s="3"/>
      <c r="J354" s="3"/>
      <c r="K354" s="241"/>
      <c r="L354" s="241"/>
      <c r="M354" s="22"/>
      <c r="N354" s="22"/>
    </row>
    <row r="355" spans="1:14" ht="20.25" customHeight="1" thickTop="1">
      <c r="A355" s="777" t="s">
        <v>74</v>
      </c>
      <c r="B355" s="735"/>
      <c r="C355" s="852" t="s">
        <v>665</v>
      </c>
      <c r="D355" s="853"/>
      <c r="E355" s="852" t="s">
        <v>709</v>
      </c>
      <c r="F355" s="853"/>
      <c r="G355" s="941" t="s">
        <v>710</v>
      </c>
      <c r="H355" s="942"/>
      <c r="I355" s="937" t="s">
        <v>676</v>
      </c>
      <c r="J355" s="938"/>
      <c r="K355" s="937" t="s">
        <v>668</v>
      </c>
      <c r="L355" s="938"/>
      <c r="M355" s="842"/>
      <c r="N355" s="845"/>
    </row>
    <row r="356" spans="1:14" ht="15">
      <c r="A356" s="78" t="s">
        <v>117</v>
      </c>
      <c r="B356" s="45" t="s">
        <v>289</v>
      </c>
      <c r="C356" s="840">
        <f>CEILING(70*$Z$1,0.1)</f>
        <v>91</v>
      </c>
      <c r="D356" s="844"/>
      <c r="E356" s="840">
        <f>CEILING(131*$Z$1,0.1)</f>
        <v>170.3</v>
      </c>
      <c r="F356" s="844"/>
      <c r="G356" s="840">
        <f>CEILING(92*$Z$1,0.1)</f>
        <v>119.60000000000001</v>
      </c>
      <c r="H356" s="844"/>
      <c r="I356" s="840">
        <f>CEILING(97*$Z$1,0.1)</f>
        <v>126.10000000000001</v>
      </c>
      <c r="J356" s="844"/>
      <c r="K356" s="840">
        <f>CEILING(78*$Z$1,0.1)</f>
        <v>101.4</v>
      </c>
      <c r="L356" s="844"/>
      <c r="M356" s="842"/>
      <c r="N356" s="845"/>
    </row>
    <row r="357" spans="1:14" ht="15">
      <c r="A357" s="40" t="s">
        <v>91</v>
      </c>
      <c r="B357" s="14" t="s">
        <v>290</v>
      </c>
      <c r="C357" s="840">
        <f>_xlfn.CEILING.MATH((C356+17.5*$Z$1),0.1)</f>
        <v>113.80000000000001</v>
      </c>
      <c r="D357" s="841"/>
      <c r="E357" s="840">
        <f>_xlfn.CEILING.MATH((E356+32.75*$Z$1),0.1)</f>
        <v>212.9</v>
      </c>
      <c r="F357" s="841"/>
      <c r="G357" s="840">
        <f>_xlfn.CEILING.MATH((G356+23*$Z$1),0.1)</f>
        <v>149.5</v>
      </c>
      <c r="H357" s="841"/>
      <c r="I357" s="840">
        <f>_xlfn.CEILING.MATH((I356+24.25*$Z$1),0.1)</f>
        <v>157.70000000000002</v>
      </c>
      <c r="J357" s="841"/>
      <c r="K357" s="840">
        <f>_xlfn.CEILING.MATH((K356+19.5*$Z$1),0.1)</f>
        <v>126.80000000000001</v>
      </c>
      <c r="L357" s="841"/>
      <c r="M357" s="83"/>
      <c r="N357" s="83"/>
    </row>
    <row r="358" spans="1:14" ht="15">
      <c r="A358" s="40" t="s">
        <v>118</v>
      </c>
      <c r="B358" s="14" t="s">
        <v>78</v>
      </c>
      <c r="C358" s="840">
        <f>CEILING((C356*0.85),0.1)</f>
        <v>77.4</v>
      </c>
      <c r="D358" s="841"/>
      <c r="E358" s="840">
        <f>CEILING((E356*0.85),0.1)</f>
        <v>144.8</v>
      </c>
      <c r="F358" s="841"/>
      <c r="G358" s="840">
        <f>CEILING((G356*0.85),0.1)</f>
        <v>101.7</v>
      </c>
      <c r="H358" s="841"/>
      <c r="I358" s="840">
        <f>CEILING((I356*0.85),0.1)</f>
        <v>107.2</v>
      </c>
      <c r="J358" s="841"/>
      <c r="K358" s="840">
        <f>CEILING((K356*0.85),0.1)</f>
        <v>86.2</v>
      </c>
      <c r="L358" s="841"/>
      <c r="M358" s="83"/>
      <c r="N358" s="83"/>
    </row>
    <row r="359" spans="1:13" ht="15">
      <c r="A359" s="243"/>
      <c r="B359" s="205" t="s">
        <v>115</v>
      </c>
      <c r="C359" s="840">
        <f>CEILING((C356*0.5),0.1)</f>
        <v>45.5</v>
      </c>
      <c r="D359" s="841"/>
      <c r="E359" s="840">
        <f>CEILING((E356*0.5),0.1)</f>
        <v>85.2</v>
      </c>
      <c r="F359" s="841"/>
      <c r="G359" s="840">
        <f>CEILING((G356*0.5),0.1)</f>
        <v>59.800000000000004</v>
      </c>
      <c r="H359" s="841"/>
      <c r="I359" s="840">
        <f>CEILING((I356*0.5),0.1)</f>
        <v>63.1</v>
      </c>
      <c r="J359" s="841"/>
      <c r="K359" s="840">
        <f>CEILING((K356*0.5),0.1)</f>
        <v>50.7</v>
      </c>
      <c r="L359" s="841"/>
      <c r="M359" s="244"/>
    </row>
    <row r="360" spans="1:25" ht="16.5" customHeight="1">
      <c r="A360" s="709"/>
      <c r="B360" s="42" t="s">
        <v>119</v>
      </c>
      <c r="C360" s="840">
        <f>_xlfn.CEILING.MATH((C356+10*$Z$1),0.1)</f>
        <v>104</v>
      </c>
      <c r="D360" s="841"/>
      <c r="E360" s="840">
        <f>_xlfn.CEILING.MATH((E356+10*$Z$1),0.1)</f>
        <v>183.3</v>
      </c>
      <c r="F360" s="841"/>
      <c r="G360" s="840">
        <f>_xlfn.CEILING.MATH((G356+10*$Z$1),0.1)</f>
        <v>132.6</v>
      </c>
      <c r="H360" s="841"/>
      <c r="I360" s="840">
        <f>_xlfn.CEILING.MATH((I356+10*$Z$1),0.1)</f>
        <v>139.1</v>
      </c>
      <c r="J360" s="841"/>
      <c r="K360" s="840">
        <f>_xlfn.CEILING.MATH((K356+10*$Z$1),0.1)</f>
        <v>114.4</v>
      </c>
      <c r="L360" s="841"/>
      <c r="M360" s="244"/>
      <c r="W360"/>
      <c r="X360"/>
      <c r="Y360"/>
    </row>
    <row r="361" spans="1:14" ht="15.75" thickBot="1">
      <c r="A361" s="622" t="s">
        <v>947</v>
      </c>
      <c r="B361" s="15" t="s">
        <v>94</v>
      </c>
      <c r="C361" s="846">
        <f>_xlfn.CEILING.MATH((C356+20*$Z$1),0.1)</f>
        <v>117</v>
      </c>
      <c r="D361" s="848"/>
      <c r="E361" s="846">
        <f>_xlfn.CEILING.MATH((E356+20*$Z$1),0.1)</f>
        <v>196.3</v>
      </c>
      <c r="F361" s="848"/>
      <c r="G361" s="846">
        <f>_xlfn.CEILING.MATH((G356+20*$Z$1),0.1)</f>
        <v>145.6</v>
      </c>
      <c r="H361" s="848"/>
      <c r="I361" s="846">
        <f>_xlfn.CEILING.MATH((I356+20*$Z$1),0.1)</f>
        <v>152.1</v>
      </c>
      <c r="J361" s="848"/>
      <c r="K361" s="846">
        <f>_xlfn.CEILING.MATH((K356+20*$Z$1),0.1)</f>
        <v>127.4</v>
      </c>
      <c r="L361" s="848"/>
      <c r="M361" s="842"/>
      <c r="N361" s="845"/>
    </row>
    <row r="362" spans="1:14" ht="15.75" thickTop="1">
      <c r="A362" s="258" t="s">
        <v>495</v>
      </c>
      <c r="B362" s="60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612"/>
      <c r="N362" s="612"/>
    </row>
    <row r="363" spans="1:14" ht="15.75" thickBo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242"/>
      <c r="L363" s="242"/>
      <c r="M363" s="845"/>
      <c r="N363" s="845"/>
    </row>
    <row r="364" spans="1:14" ht="23.25" customHeight="1" thickTop="1">
      <c r="A364" s="777" t="s">
        <v>74</v>
      </c>
      <c r="B364" s="735"/>
      <c r="C364" s="852" t="s">
        <v>665</v>
      </c>
      <c r="D364" s="853"/>
      <c r="E364" s="852" t="s">
        <v>709</v>
      </c>
      <c r="F364" s="853"/>
      <c r="G364" s="941" t="s">
        <v>710</v>
      </c>
      <c r="H364" s="942"/>
      <c r="I364" s="937" t="s">
        <v>676</v>
      </c>
      <c r="J364" s="938"/>
      <c r="K364" s="937" t="s">
        <v>668</v>
      </c>
      <c r="L364" s="1101"/>
      <c r="M364" s="842"/>
      <c r="N364" s="845"/>
    </row>
    <row r="365" spans="1:14" ht="15">
      <c r="A365" s="78" t="s">
        <v>288</v>
      </c>
      <c r="B365" s="45" t="s">
        <v>99</v>
      </c>
      <c r="C365" s="840">
        <f>CEILING(60*$Z$1,0.1)</f>
        <v>78</v>
      </c>
      <c r="D365" s="844"/>
      <c r="E365" s="840">
        <f>CEILING(121*$Z$1,0.1)</f>
        <v>157.3</v>
      </c>
      <c r="F365" s="844"/>
      <c r="G365" s="840">
        <f>CEILING(82*$Z$1,0.1)</f>
        <v>106.60000000000001</v>
      </c>
      <c r="H365" s="844"/>
      <c r="I365" s="840">
        <f>CEILING(87*$Z$1,0.1)</f>
        <v>113.10000000000001</v>
      </c>
      <c r="J365" s="844"/>
      <c r="K365" s="840">
        <f>CEILING(68*$Z$1,0.1)</f>
        <v>88.4</v>
      </c>
      <c r="L365" s="844"/>
      <c r="M365" s="4"/>
      <c r="N365" s="3"/>
    </row>
    <row r="366" spans="1:14" ht="15">
      <c r="A366" s="40" t="s">
        <v>91</v>
      </c>
      <c r="B366" s="14" t="s">
        <v>100</v>
      </c>
      <c r="C366" s="840">
        <f>_xlfn.CEILING.MATH((C365+15*$Z$1),0.1)</f>
        <v>97.5</v>
      </c>
      <c r="D366" s="841"/>
      <c r="E366" s="840">
        <f>_xlfn.CEILING.MATH((E365+30.25*$Z$1),0.1)</f>
        <v>196.70000000000002</v>
      </c>
      <c r="F366" s="841"/>
      <c r="G366" s="840">
        <f>_xlfn.CEILING.MATH((G365+20.5*$Z$1),0.1)</f>
        <v>133.3</v>
      </c>
      <c r="H366" s="841"/>
      <c r="I366" s="840">
        <f>_xlfn.CEILING.MATH((I365+21.75*$Z$1),0.1)</f>
        <v>141.4</v>
      </c>
      <c r="J366" s="841"/>
      <c r="K366" s="840">
        <f>_xlfn.CEILING.MATH((K365+17*$Z$1),0.1)</f>
        <v>110.5</v>
      </c>
      <c r="L366" s="844"/>
      <c r="M366" s="4"/>
      <c r="N366" s="3"/>
    </row>
    <row r="367" spans="1:14" ht="15">
      <c r="A367" s="709"/>
      <c r="B367" s="14" t="s">
        <v>78</v>
      </c>
      <c r="C367" s="840">
        <f>CEILING((C365*0.85),0.1)</f>
        <v>66.3</v>
      </c>
      <c r="D367" s="841"/>
      <c r="E367" s="840">
        <f>CEILING((E365*0.85),0.1)</f>
        <v>133.8</v>
      </c>
      <c r="F367" s="841"/>
      <c r="G367" s="840">
        <f>CEILING((G365*0.85),0.1)</f>
        <v>90.7</v>
      </c>
      <c r="H367" s="841"/>
      <c r="I367" s="840">
        <f>CEILING((I365*0.85),0.1)</f>
        <v>96.2</v>
      </c>
      <c r="J367" s="841"/>
      <c r="K367" s="840">
        <f>CEILING((K365*0.85),0.1)</f>
        <v>75.2</v>
      </c>
      <c r="L367" s="841"/>
      <c r="M367" s="22"/>
      <c r="N367" s="22"/>
    </row>
    <row r="368" spans="1:13" ht="15">
      <c r="A368" s="709"/>
      <c r="B368" s="205" t="s">
        <v>115</v>
      </c>
      <c r="C368" s="840">
        <f>CEILING((C365*0.5),0.1)</f>
        <v>39</v>
      </c>
      <c r="D368" s="841"/>
      <c r="E368" s="840">
        <f>CEILING((E365*0.5),0.1)</f>
        <v>78.7</v>
      </c>
      <c r="F368" s="841"/>
      <c r="G368" s="840">
        <f>CEILING((G365*0.5),0.1)</f>
        <v>53.300000000000004</v>
      </c>
      <c r="H368" s="841"/>
      <c r="I368" s="840">
        <f>CEILING((I365*0.5),0.1)</f>
        <v>56.6</v>
      </c>
      <c r="J368" s="841"/>
      <c r="K368" s="840">
        <f>CEILING((K365*0.5),0.1)</f>
        <v>44.2</v>
      </c>
      <c r="L368" s="841"/>
      <c r="M368" s="244"/>
    </row>
    <row r="369" spans="1:25" ht="15.75" customHeight="1" thickBot="1">
      <c r="A369" s="622" t="s">
        <v>947</v>
      </c>
      <c r="B369" s="15" t="s">
        <v>94</v>
      </c>
      <c r="C369" s="846">
        <f>_xlfn.CEILING.MATH((C365+20*$Z$1),0.1)</f>
        <v>104</v>
      </c>
      <c r="D369" s="848"/>
      <c r="E369" s="846">
        <f>_xlfn.CEILING.MATH((E365+20*$Z$1),0.1)</f>
        <v>183.3</v>
      </c>
      <c r="F369" s="848"/>
      <c r="G369" s="846">
        <f>_xlfn.CEILING.MATH((G365+20*$Z$1),0.1)</f>
        <v>132.6</v>
      </c>
      <c r="H369" s="848"/>
      <c r="I369" s="846">
        <f>_xlfn.CEILING.MATH((I365+20*$Z$1),0.1)</f>
        <v>139.1</v>
      </c>
      <c r="J369" s="848"/>
      <c r="K369" s="846">
        <f>_xlfn.CEILING.MATH((K365+20*$Z$1),0.1)</f>
        <v>114.4</v>
      </c>
      <c r="L369" s="848"/>
      <c r="M369" s="244"/>
      <c r="W369"/>
      <c r="X369"/>
      <c r="Y369"/>
    </row>
    <row r="370" spans="1:25" ht="15.75" thickTop="1">
      <c r="A370" s="258" t="s">
        <v>762</v>
      </c>
      <c r="B370" s="60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612"/>
      <c r="N370" s="612"/>
      <c r="W370"/>
      <c r="X370"/>
      <c r="Y370"/>
    </row>
    <row r="371" spans="1:14" ht="15.75" thickBot="1">
      <c r="A371" s="88"/>
      <c r="B371" s="62"/>
      <c r="C371" s="2"/>
      <c r="D371" s="2"/>
      <c r="E371" s="2"/>
      <c r="F371" s="2"/>
      <c r="G371" s="2"/>
      <c r="H371" s="2"/>
      <c r="I371" s="2"/>
      <c r="J371" s="2"/>
      <c r="K371" s="242"/>
      <c r="L371" s="242"/>
      <c r="M371" s="845"/>
      <c r="N371" s="845"/>
    </row>
    <row r="372" spans="1:14" ht="23.25" customHeight="1" thickTop="1">
      <c r="A372" s="777" t="s">
        <v>74</v>
      </c>
      <c r="B372" s="778"/>
      <c r="C372" s="852" t="s">
        <v>665</v>
      </c>
      <c r="D372" s="853"/>
      <c r="E372" s="852" t="s">
        <v>709</v>
      </c>
      <c r="F372" s="853"/>
      <c r="G372" s="941" t="s">
        <v>710</v>
      </c>
      <c r="H372" s="942"/>
      <c r="I372" s="937" t="s">
        <v>676</v>
      </c>
      <c r="J372" s="938"/>
      <c r="K372" s="937" t="s">
        <v>668</v>
      </c>
      <c r="L372" s="938"/>
      <c r="M372" s="4"/>
      <c r="N372" s="3"/>
    </row>
    <row r="373" spans="1:14" ht="15">
      <c r="A373" s="32" t="s">
        <v>121</v>
      </c>
      <c r="B373" s="14" t="s">
        <v>289</v>
      </c>
      <c r="C373" s="840">
        <f>CEILING(70*$Z$1,0.1)</f>
        <v>91</v>
      </c>
      <c r="D373" s="844"/>
      <c r="E373" s="840">
        <f>CEILING(131*$Z$1,0.1)</f>
        <v>170.3</v>
      </c>
      <c r="F373" s="844"/>
      <c r="G373" s="840">
        <f>CEILING(92*$Z$1,0.1)</f>
        <v>119.60000000000001</v>
      </c>
      <c r="H373" s="844"/>
      <c r="I373" s="840">
        <f>CEILING(97*$Z$1,0.1)</f>
        <v>126.10000000000001</v>
      </c>
      <c r="J373" s="844"/>
      <c r="K373" s="840">
        <f>CEILING(78*$Z$1,0.1)</f>
        <v>101.4</v>
      </c>
      <c r="L373" s="844"/>
      <c r="M373" s="842"/>
      <c r="N373" s="845"/>
    </row>
    <row r="374" spans="1:14" ht="15">
      <c r="A374" s="33" t="s">
        <v>91</v>
      </c>
      <c r="B374" s="14" t="s">
        <v>290</v>
      </c>
      <c r="C374" s="840">
        <f>_xlfn.CEILING.MATH((C373+17.5*$Z$1),0.1)</f>
        <v>113.80000000000001</v>
      </c>
      <c r="D374" s="841"/>
      <c r="E374" s="840">
        <f>_xlfn.CEILING.MATH((E373+32.75*$Z$1),0.1)</f>
        <v>212.9</v>
      </c>
      <c r="F374" s="841"/>
      <c r="G374" s="840">
        <f>_xlfn.CEILING.MATH((G373+23*$Z$1),0.1)</f>
        <v>149.5</v>
      </c>
      <c r="H374" s="841"/>
      <c r="I374" s="840">
        <f>_xlfn.CEILING.MATH((I373+24.25*$Z$1),0.1)</f>
        <v>157.70000000000002</v>
      </c>
      <c r="J374" s="841"/>
      <c r="K374" s="840">
        <f>_xlfn.CEILING.MATH((K373+19.5*$Z$1),0.1)</f>
        <v>126.80000000000001</v>
      </c>
      <c r="L374" s="844"/>
      <c r="M374" s="625"/>
      <c r="N374" s="271"/>
    </row>
    <row r="375" spans="1:25" ht="15">
      <c r="A375" s="40" t="s">
        <v>118</v>
      </c>
      <c r="B375" s="14" t="s">
        <v>78</v>
      </c>
      <c r="C375" s="840">
        <f>CEILING((C373*0.85),0.1)</f>
        <v>77.4</v>
      </c>
      <c r="D375" s="841"/>
      <c r="E375" s="840">
        <f>CEILING((E373*0.85),0.1)</f>
        <v>144.8</v>
      </c>
      <c r="F375" s="841"/>
      <c r="G375" s="840">
        <f>CEILING((G373*0.85),0.1)</f>
        <v>101.7</v>
      </c>
      <c r="H375" s="841"/>
      <c r="I375" s="840">
        <f>CEILING((I373*0.85),0.1)</f>
        <v>107.2</v>
      </c>
      <c r="J375" s="841"/>
      <c r="K375" s="840">
        <f>CEILING((K373*0.85),0.1)</f>
        <v>86.2</v>
      </c>
      <c r="L375" s="841"/>
      <c r="M375" s="244"/>
      <c r="X375"/>
      <c r="Y375"/>
    </row>
    <row r="376" spans="1:25" ht="15">
      <c r="A376" s="710"/>
      <c r="B376" s="205" t="s">
        <v>115</v>
      </c>
      <c r="C376" s="840">
        <f>CEILING((C373*0.5),0.1)</f>
        <v>45.5</v>
      </c>
      <c r="D376" s="841"/>
      <c r="E376" s="840">
        <f>CEILING((E373*0.5),0.1)</f>
        <v>85.2</v>
      </c>
      <c r="F376" s="841"/>
      <c r="G376" s="840">
        <f>CEILING((G373*0.5),0.1)</f>
        <v>59.800000000000004</v>
      </c>
      <c r="H376" s="841"/>
      <c r="I376" s="840">
        <f>CEILING((I373*0.5),0.1)</f>
        <v>63.1</v>
      </c>
      <c r="J376" s="841"/>
      <c r="K376" s="840">
        <f>CEILING((K373*0.5),0.1)</f>
        <v>50.7</v>
      </c>
      <c r="L376" s="841"/>
      <c r="M376" s="244"/>
      <c r="X376"/>
      <c r="Y376"/>
    </row>
    <row r="377" spans="1:25" ht="15">
      <c r="A377" s="709"/>
      <c r="B377" s="42" t="s">
        <v>119</v>
      </c>
      <c r="C377" s="840">
        <f>_xlfn.CEILING.MATH((C373+10*$Z$1),0.1)</f>
        <v>104</v>
      </c>
      <c r="D377" s="841"/>
      <c r="E377" s="840">
        <f>_xlfn.CEILING.MATH((E373+10*$Z$1),0.1)</f>
        <v>183.3</v>
      </c>
      <c r="F377" s="841"/>
      <c r="G377" s="840">
        <f>_xlfn.CEILING.MATH((G373+10*$Z$1),0.1)</f>
        <v>132.6</v>
      </c>
      <c r="H377" s="841"/>
      <c r="I377" s="840">
        <f>_xlfn.CEILING.MATH((I373+10*$Z$1),0.1)</f>
        <v>139.1</v>
      </c>
      <c r="J377" s="841"/>
      <c r="K377" s="840">
        <f>_xlfn.CEILING.MATH((K373+10*$Z$1),0.1)</f>
        <v>114.4</v>
      </c>
      <c r="L377" s="841"/>
      <c r="M377" s="244"/>
      <c r="X377"/>
      <c r="Y377"/>
    </row>
    <row r="378" spans="1:13" ht="15.75" thickBot="1">
      <c r="A378" s="622" t="s">
        <v>946</v>
      </c>
      <c r="B378" s="15" t="s">
        <v>94</v>
      </c>
      <c r="C378" s="846">
        <f>_xlfn.CEILING.MATH((C373+20*$Z$1),0.1)</f>
        <v>117</v>
      </c>
      <c r="D378" s="848"/>
      <c r="E378" s="846">
        <f>_xlfn.CEILING.MATH((E373+20*$Z$1),0.1)</f>
        <v>196.3</v>
      </c>
      <c r="F378" s="848"/>
      <c r="G378" s="846">
        <f>_xlfn.CEILING.MATH((G373+20*$Z$1),0.1)</f>
        <v>145.6</v>
      </c>
      <c r="H378" s="848"/>
      <c r="I378" s="846">
        <f>_xlfn.CEILING.MATH((I373+20*$Z$1),0.1)</f>
        <v>152.1</v>
      </c>
      <c r="J378" s="848"/>
      <c r="K378" s="846">
        <f>_xlfn.CEILING.MATH((K373+20*$Z$1),0.1)</f>
        <v>127.4</v>
      </c>
      <c r="L378" s="848"/>
      <c r="M378" s="244"/>
    </row>
    <row r="379" spans="1:25" ht="15.75" thickTop="1">
      <c r="A379" s="258" t="s">
        <v>494</v>
      </c>
      <c r="B379" s="60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244"/>
      <c r="W379"/>
      <c r="X379"/>
      <c r="Y379"/>
    </row>
    <row r="380" spans="1:25" ht="15.75" thickBot="1">
      <c r="A380" s="35"/>
      <c r="B380" s="35"/>
      <c r="C380" s="84"/>
      <c r="D380" s="71"/>
      <c r="E380" s="71"/>
      <c r="F380" s="71"/>
      <c r="G380" s="72"/>
      <c r="H380" s="72"/>
      <c r="I380" s="72"/>
      <c r="J380" s="72"/>
      <c r="K380" s="241"/>
      <c r="L380" s="241"/>
      <c r="M380" s="244"/>
      <c r="W380"/>
      <c r="X380"/>
      <c r="Y380"/>
    </row>
    <row r="381" spans="1:25" ht="15.75" customHeight="1" thickTop="1">
      <c r="A381" s="1080" t="s">
        <v>74</v>
      </c>
      <c r="B381" s="1083"/>
      <c r="C381" s="852" t="s">
        <v>685</v>
      </c>
      <c r="D381" s="853"/>
      <c r="E381" s="1047" t="s">
        <v>687</v>
      </c>
      <c r="F381" s="1048"/>
      <c r="G381" s="852" t="s">
        <v>688</v>
      </c>
      <c r="H381" s="853"/>
      <c r="I381" s="879" t="s">
        <v>690</v>
      </c>
      <c r="J381" s="880"/>
      <c r="K381" s="525"/>
      <c r="L381" s="526"/>
      <c r="M381" s="845"/>
      <c r="N381" s="845"/>
      <c r="W381"/>
      <c r="X381"/>
      <c r="Y381"/>
    </row>
    <row r="382" spans="1:14" ht="15.75" customHeight="1">
      <c r="A382" s="861"/>
      <c r="B382" s="1084"/>
      <c r="C382" s="865" t="s">
        <v>686</v>
      </c>
      <c r="D382" s="866"/>
      <c r="E382" s="1049"/>
      <c r="F382" s="1050"/>
      <c r="G382" s="865" t="s">
        <v>689</v>
      </c>
      <c r="H382" s="866"/>
      <c r="I382" s="881"/>
      <c r="J382" s="882"/>
      <c r="K382" s="525"/>
      <c r="L382" s="526"/>
      <c r="M382" s="845"/>
      <c r="N382" s="845"/>
    </row>
    <row r="383" spans="1:14" ht="15">
      <c r="A383" s="78" t="s">
        <v>122</v>
      </c>
      <c r="B383" s="45" t="s">
        <v>82</v>
      </c>
      <c r="C383" s="840">
        <f>CEILING(75*$Z$1,0.1)</f>
        <v>97.5</v>
      </c>
      <c r="D383" s="844"/>
      <c r="E383" s="840">
        <f>CEILING(145*$Z$1,0.1)</f>
        <v>188.5</v>
      </c>
      <c r="F383" s="844"/>
      <c r="G383" s="840">
        <f>CEILING(85*$Z$1,0.1)</f>
        <v>110.5</v>
      </c>
      <c r="H383" s="844"/>
      <c r="I383" s="840">
        <f>CEILING(110*$Z$1,0.1)</f>
        <v>143</v>
      </c>
      <c r="J383" s="844"/>
      <c r="K383" s="521"/>
      <c r="L383" s="440"/>
      <c r="M383" s="845"/>
      <c r="N383" s="845"/>
    </row>
    <row r="384" spans="1:14" ht="15">
      <c r="A384" s="85" t="s">
        <v>91</v>
      </c>
      <c r="B384" s="14" t="s">
        <v>83</v>
      </c>
      <c r="C384" s="840">
        <f>_xlfn.CEILING.MATH((C383+38*$Z$1),0.1)</f>
        <v>146.9</v>
      </c>
      <c r="D384" s="841"/>
      <c r="E384" s="840">
        <f>_xlfn.CEILING.MATH((E383+38*$Z$1),0.1)</f>
        <v>237.9</v>
      </c>
      <c r="F384" s="841"/>
      <c r="G384" s="840">
        <f>_xlfn.CEILING.MATH((G383+38*$Z$1),0.1)</f>
        <v>159.9</v>
      </c>
      <c r="H384" s="841"/>
      <c r="I384" s="840">
        <f>_xlfn.CEILING.MATH((I383+38*$Z$1),0.1)</f>
        <v>192.4</v>
      </c>
      <c r="J384" s="841"/>
      <c r="K384" s="521"/>
      <c r="L384" s="440"/>
      <c r="M384" s="845"/>
      <c r="N384" s="845"/>
    </row>
    <row r="385" spans="1:13" ht="15">
      <c r="A385" s="86"/>
      <c r="B385" s="41" t="s">
        <v>78</v>
      </c>
      <c r="C385" s="840">
        <f>CEILING((C383*0.85),0.1)</f>
        <v>82.9</v>
      </c>
      <c r="D385" s="841"/>
      <c r="E385" s="840">
        <f>CEILING((E383*0.85),0.1)</f>
        <v>160.3</v>
      </c>
      <c r="F385" s="841"/>
      <c r="G385" s="840">
        <f>CEILING((G383*0.85),0.1)</f>
        <v>94</v>
      </c>
      <c r="H385" s="841"/>
      <c r="I385" s="840">
        <f>CEILING((I383*0.85),0.1)</f>
        <v>121.60000000000001</v>
      </c>
      <c r="J385" s="841"/>
      <c r="K385" s="521"/>
      <c r="L385" s="440"/>
      <c r="M385" s="244"/>
    </row>
    <row r="386" spans="1:25" ht="15">
      <c r="A386" s="86"/>
      <c r="B386" s="14" t="s">
        <v>102</v>
      </c>
      <c r="C386" s="840">
        <f>_xlfn.CEILING.MATH((C383+14*$Z$1),0.1)</f>
        <v>115.7</v>
      </c>
      <c r="D386" s="841"/>
      <c r="E386" s="840">
        <f>_xlfn.CEILING.MATH((E383+14*$Z$1),0.1)</f>
        <v>206.70000000000002</v>
      </c>
      <c r="F386" s="841"/>
      <c r="G386" s="840">
        <f>_xlfn.CEILING.MATH((G383+14*$Z$1),0.1)</f>
        <v>128.70000000000002</v>
      </c>
      <c r="H386" s="841"/>
      <c r="I386" s="840">
        <f>_xlfn.CEILING.MATH((I383+14*$Z$1),0.1)</f>
        <v>161.20000000000002</v>
      </c>
      <c r="J386" s="841"/>
      <c r="K386" s="521"/>
      <c r="L386" s="440"/>
      <c r="M386" s="244"/>
      <c r="X386"/>
      <c r="Y386"/>
    </row>
    <row r="387" spans="1:25" ht="15">
      <c r="A387" s="86"/>
      <c r="B387" s="14" t="s">
        <v>103</v>
      </c>
      <c r="C387" s="840">
        <f>_xlfn.CEILING.MATH((C386+37*$Z$1),0.1)</f>
        <v>163.8</v>
      </c>
      <c r="D387" s="841"/>
      <c r="E387" s="840">
        <f>_xlfn.CEILING.MATH((E386+37*$Z$1),0.1)</f>
        <v>254.8</v>
      </c>
      <c r="F387" s="841"/>
      <c r="G387" s="840">
        <f>_xlfn.CEILING.MATH((G386+37*$Z$1),0.1)</f>
        <v>176.8</v>
      </c>
      <c r="H387" s="841"/>
      <c r="I387" s="840">
        <f>_xlfn.CEILING.MATH((I386+37*$Z$1),0.1)</f>
        <v>209.3</v>
      </c>
      <c r="J387" s="841"/>
      <c r="K387" s="521"/>
      <c r="L387" s="440"/>
      <c r="M387" s="244"/>
      <c r="X387"/>
      <c r="Y387"/>
    </row>
    <row r="388" spans="1:25" ht="15">
      <c r="A388" s="86"/>
      <c r="B388" s="14" t="s">
        <v>586</v>
      </c>
      <c r="C388" s="840">
        <f>_xlfn.CEILING.MATH((C383+22*$Z$1),0.1)</f>
        <v>126.10000000000001</v>
      </c>
      <c r="D388" s="841"/>
      <c r="E388" s="840">
        <f>_xlfn.CEILING.MATH((E383+22*$Z$1),0.1)</f>
        <v>217.10000000000002</v>
      </c>
      <c r="F388" s="841"/>
      <c r="G388" s="840">
        <f>_xlfn.CEILING.MATH((G383+22*$Z$1),0.1)</f>
        <v>139.1</v>
      </c>
      <c r="H388" s="841"/>
      <c r="I388" s="840">
        <f>_xlfn.CEILING.MATH((I383+22*$Z$1),0.1)</f>
        <v>171.60000000000002</v>
      </c>
      <c r="J388" s="841"/>
      <c r="K388" s="521"/>
      <c r="L388" s="440"/>
      <c r="M388" s="244"/>
      <c r="X388"/>
      <c r="Y388"/>
    </row>
    <row r="389" spans="1:25" ht="15">
      <c r="A389" s="86"/>
      <c r="B389" s="14" t="s">
        <v>587</v>
      </c>
      <c r="C389" s="840">
        <f>_xlfn.CEILING.MATH((C388+38*$Z$1),0.1)</f>
        <v>175.5</v>
      </c>
      <c r="D389" s="841"/>
      <c r="E389" s="840">
        <f>_xlfn.CEILING.MATH((E388+38*$Z$1),0.1)</f>
        <v>266.5</v>
      </c>
      <c r="F389" s="841"/>
      <c r="G389" s="840">
        <f>_xlfn.CEILING.MATH((G388+38*$Z$1),0.1)</f>
        <v>188.5</v>
      </c>
      <c r="H389" s="841"/>
      <c r="I389" s="840">
        <f>_xlfn.CEILING.MATH((I388+38*$Z$1),0.1)</f>
        <v>221</v>
      </c>
      <c r="J389" s="841"/>
      <c r="K389" s="521"/>
      <c r="L389" s="440"/>
      <c r="M389" s="244"/>
      <c r="X389"/>
      <c r="Y389"/>
    </row>
    <row r="390" spans="1:25" ht="15">
      <c r="A390" s="86"/>
      <c r="B390" s="14" t="s">
        <v>94</v>
      </c>
      <c r="C390" s="840">
        <f>_xlfn.CEILING.MATH((C383+53*$Z$1),0.1)</f>
        <v>166.4</v>
      </c>
      <c r="D390" s="841"/>
      <c r="E390" s="840">
        <f>_xlfn.CEILING.MATH((E383+53*$Z$1),0.1)</f>
        <v>257.40000000000003</v>
      </c>
      <c r="F390" s="841"/>
      <c r="G390" s="840">
        <f>_xlfn.CEILING.MATH((G383+53*$Z$1),0.1)</f>
        <v>179.4</v>
      </c>
      <c r="H390" s="841"/>
      <c r="I390" s="840">
        <f>_xlfn.CEILING.MATH((I383+53*$Z$1),0.1)</f>
        <v>211.9</v>
      </c>
      <c r="J390" s="841"/>
      <c r="K390" s="521"/>
      <c r="L390" s="440"/>
      <c r="M390" s="244"/>
      <c r="X390"/>
      <c r="Y390"/>
    </row>
    <row r="391" spans="1:25" ht="15.75" thickBot="1">
      <c r="A391" s="663" t="s">
        <v>945</v>
      </c>
      <c r="B391" s="15" t="s">
        <v>95</v>
      </c>
      <c r="C391" s="846">
        <f>_xlfn.CEILING.MATH((C390+73*$Z$1),0.1)</f>
        <v>261.3</v>
      </c>
      <c r="D391" s="848"/>
      <c r="E391" s="846">
        <f>_xlfn.CEILING.MATH((E390+73*$Z$1),0.1)</f>
        <v>352.3</v>
      </c>
      <c r="F391" s="848"/>
      <c r="G391" s="846">
        <f>_xlfn.CEILING.MATH((G390+73*$Z$1),0.1)</f>
        <v>274.3</v>
      </c>
      <c r="H391" s="848"/>
      <c r="I391" s="846">
        <f>_xlfn.CEILING.MATH((I390+73*$Z$1),0.1)</f>
        <v>306.8</v>
      </c>
      <c r="J391" s="848"/>
      <c r="K391" s="521"/>
      <c r="L391" s="440"/>
      <c r="M391" s="244"/>
      <c r="X391"/>
      <c r="Y391"/>
    </row>
    <row r="392" spans="1:25" ht="15.75" thickTop="1">
      <c r="A392" s="24" t="s">
        <v>528</v>
      </c>
      <c r="B392" s="60"/>
      <c r="C392" s="660"/>
      <c r="D392" s="660"/>
      <c r="E392" s="660"/>
      <c r="F392" s="660"/>
      <c r="G392" s="660"/>
      <c r="H392" s="660"/>
      <c r="I392" s="660"/>
      <c r="J392" s="660"/>
      <c r="K392" s="440"/>
      <c r="L392" s="440"/>
      <c r="M392" s="244"/>
      <c r="X392"/>
      <c r="Y392"/>
    </row>
    <row r="393" spans="1:25" ht="16.5" customHeight="1">
      <c r="A393" s="664" t="s">
        <v>691</v>
      </c>
      <c r="B393" s="613"/>
      <c r="C393" s="613"/>
      <c r="D393" s="613"/>
      <c r="E393" s="613"/>
      <c r="F393" s="613"/>
      <c r="G393" s="613"/>
      <c r="H393" s="613"/>
      <c r="I393" s="613"/>
      <c r="J393" s="613"/>
      <c r="K393" s="555"/>
      <c r="L393" s="503"/>
      <c r="M393" s="931"/>
      <c r="N393" s="931"/>
      <c r="X393"/>
      <c r="Y393"/>
    </row>
    <row r="394" spans="1:14" ht="24" customHeight="1" thickBot="1">
      <c r="A394" s="246"/>
      <c r="B394" s="67"/>
      <c r="C394" s="67"/>
      <c r="D394" s="67"/>
      <c r="E394" s="67"/>
      <c r="F394" s="67"/>
      <c r="G394" s="67"/>
      <c r="H394" s="67"/>
      <c r="I394" s="67"/>
      <c r="J394" s="67"/>
      <c r="K394" s="503"/>
      <c r="L394" s="503"/>
      <c r="M394" s="845"/>
      <c r="N394" s="845"/>
    </row>
    <row r="395" spans="1:14" ht="15.75" customHeight="1" thickTop="1">
      <c r="A395" s="1080" t="s">
        <v>74</v>
      </c>
      <c r="B395" s="1083"/>
      <c r="C395" s="852" t="s">
        <v>685</v>
      </c>
      <c r="D395" s="853"/>
      <c r="E395" s="1047" t="s">
        <v>687</v>
      </c>
      <c r="F395" s="1048"/>
      <c r="G395" s="852" t="s">
        <v>693</v>
      </c>
      <c r="H395" s="853"/>
      <c r="I395" s="879" t="s">
        <v>692</v>
      </c>
      <c r="J395" s="880"/>
      <c r="K395" s="665"/>
      <c r="L395" s="503"/>
      <c r="M395" s="660"/>
      <c r="N395" s="660"/>
    </row>
    <row r="396" spans="1:14" ht="15" customHeight="1">
      <c r="A396" s="861"/>
      <c r="B396" s="1084"/>
      <c r="C396" s="865" t="s">
        <v>668</v>
      </c>
      <c r="D396" s="866"/>
      <c r="E396" s="1049"/>
      <c r="F396" s="1050"/>
      <c r="G396" s="865" t="s">
        <v>694</v>
      </c>
      <c r="H396" s="866"/>
      <c r="I396" s="881"/>
      <c r="J396" s="882"/>
      <c r="K396" s="954"/>
      <c r="L396" s="931"/>
      <c r="M396" s="845"/>
      <c r="N396" s="845"/>
    </row>
    <row r="397" spans="1:14" ht="15">
      <c r="A397" s="78" t="s">
        <v>269</v>
      </c>
      <c r="B397" s="45" t="s">
        <v>82</v>
      </c>
      <c r="C397" s="840">
        <f>CEILING(55*$Z$1,0.1)</f>
        <v>71.5</v>
      </c>
      <c r="D397" s="844"/>
      <c r="E397" s="840">
        <f>CEILING(70*$Z$1,0.1)</f>
        <v>91</v>
      </c>
      <c r="F397" s="844"/>
      <c r="G397" s="840">
        <f>CEILING(85*$Z$1,0.1)</f>
        <v>110.5</v>
      </c>
      <c r="H397" s="844"/>
      <c r="I397" s="840">
        <f>CEILING(110*$Z$1,0.1)</f>
        <v>143</v>
      </c>
      <c r="J397" s="844"/>
      <c r="K397" s="588"/>
      <c r="L397" s="590"/>
      <c r="M397" s="845"/>
      <c r="N397" s="845"/>
    </row>
    <row r="398" spans="1:14" ht="15">
      <c r="A398" s="85" t="s">
        <v>76</v>
      </c>
      <c r="B398" s="14" t="s">
        <v>83</v>
      </c>
      <c r="C398" s="840">
        <f>_xlfn.CEILING.MATH((C397+38*$Z$1),0.1)</f>
        <v>120.9</v>
      </c>
      <c r="D398" s="841"/>
      <c r="E398" s="840">
        <f>_xlfn.CEILING.MATH((E397+38*$Z$1),0.1)</f>
        <v>140.4</v>
      </c>
      <c r="F398" s="841"/>
      <c r="G398" s="840">
        <f>_xlfn.CEILING.MATH((G397+38*$Z$1),0.1)</f>
        <v>159.9</v>
      </c>
      <c r="H398" s="841"/>
      <c r="I398" s="840">
        <f>_xlfn.CEILING.MATH((I397+38*$Z$1),0.1)</f>
        <v>192.4</v>
      </c>
      <c r="J398" s="841"/>
      <c r="K398" s="588"/>
      <c r="L398" s="590"/>
      <c r="M398" s="845"/>
      <c r="N398" s="845"/>
    </row>
    <row r="399" spans="1:14" ht="15">
      <c r="A399" s="86"/>
      <c r="B399" s="41" t="s">
        <v>78</v>
      </c>
      <c r="C399" s="840">
        <f>CEILING((C397*0.85),0.1)</f>
        <v>60.800000000000004</v>
      </c>
      <c r="D399" s="841"/>
      <c r="E399" s="840">
        <f>CEILING((E397*0.85),0.1)</f>
        <v>77.4</v>
      </c>
      <c r="F399" s="841"/>
      <c r="G399" s="840">
        <f>CEILING((G397*0.85),0.1)</f>
        <v>94</v>
      </c>
      <c r="H399" s="841"/>
      <c r="I399" s="840">
        <f>CEILING((I397*0.85),0.1)</f>
        <v>121.60000000000001</v>
      </c>
      <c r="J399" s="841"/>
      <c r="K399" s="588"/>
      <c r="L399" s="590"/>
      <c r="M399" s="845"/>
      <c r="N399" s="845"/>
    </row>
    <row r="400" spans="1:14" ht="15">
      <c r="A400" s="86"/>
      <c r="B400" s="14" t="s">
        <v>123</v>
      </c>
      <c r="C400" s="842">
        <v>0</v>
      </c>
      <c r="D400" s="843"/>
      <c r="E400" s="842">
        <v>0</v>
      </c>
      <c r="F400" s="843"/>
      <c r="G400" s="842">
        <v>0</v>
      </c>
      <c r="H400" s="843"/>
      <c r="I400" s="842">
        <v>0</v>
      </c>
      <c r="J400" s="843"/>
      <c r="K400" s="842"/>
      <c r="L400" s="845"/>
      <c r="M400" s="729"/>
      <c r="N400" s="660"/>
    </row>
    <row r="401" spans="1:14" ht="15">
      <c r="A401" s="86"/>
      <c r="B401" s="14" t="s">
        <v>124</v>
      </c>
      <c r="C401" s="840">
        <f>CEILING((C397*0.5),0.1)</f>
        <v>35.800000000000004</v>
      </c>
      <c r="D401" s="841"/>
      <c r="E401" s="840">
        <f>CEILING((E397*0.5),0.1)</f>
        <v>45.5</v>
      </c>
      <c r="F401" s="841"/>
      <c r="G401" s="840">
        <f>CEILING((G397*0.5),0.1)</f>
        <v>55.300000000000004</v>
      </c>
      <c r="H401" s="841"/>
      <c r="I401" s="840">
        <f>CEILING((I397*0.5),0.1)</f>
        <v>71.5</v>
      </c>
      <c r="J401" s="841"/>
      <c r="K401" s="588"/>
      <c r="L401" s="590"/>
      <c r="M401" s="660"/>
      <c r="N401" s="660"/>
    </row>
    <row r="402" spans="1:13" ht="15">
      <c r="A402" s="86"/>
      <c r="B402" s="14" t="s">
        <v>84</v>
      </c>
      <c r="C402" s="840">
        <f>_xlfn.CEILING.MATH((C397+17*$Z$1),0.1)</f>
        <v>93.60000000000001</v>
      </c>
      <c r="D402" s="841"/>
      <c r="E402" s="840">
        <f>_xlfn.CEILING.MATH((E397+17*$Z$1),0.1)</f>
        <v>113.10000000000001</v>
      </c>
      <c r="F402" s="841"/>
      <c r="G402" s="840">
        <f>_xlfn.CEILING.MATH((G397+17*$Z$1),0.1)</f>
        <v>132.6</v>
      </c>
      <c r="H402" s="841"/>
      <c r="I402" s="840">
        <f>_xlfn.CEILING.MATH((I397+17*$Z$1),0.1)</f>
        <v>165.10000000000002</v>
      </c>
      <c r="J402" s="841"/>
      <c r="K402" s="588"/>
      <c r="L402" s="590"/>
      <c r="M402" s="244"/>
    </row>
    <row r="403" spans="1:25" ht="15">
      <c r="A403" s="86"/>
      <c r="B403" s="14" t="s">
        <v>103</v>
      </c>
      <c r="C403" s="840">
        <f>_xlfn.CEILING.MATH((C402+13.75*$Z$1),0.1)</f>
        <v>111.5</v>
      </c>
      <c r="D403" s="841"/>
      <c r="E403" s="840">
        <f>_xlfn.CEILING.MATH((E402+27.5*$Z$1),0.1)</f>
        <v>148.9</v>
      </c>
      <c r="F403" s="841"/>
      <c r="G403" s="840">
        <f>_xlfn.CEILING.MATH((G402+17.5*$Z$1),0.1)</f>
        <v>155.4</v>
      </c>
      <c r="H403" s="841"/>
      <c r="I403" s="840">
        <f>_xlfn.CEILING.MATH((I402+18.75*$Z$1),0.1)</f>
        <v>189.5</v>
      </c>
      <c r="J403" s="841"/>
      <c r="K403" s="588"/>
      <c r="L403" s="590"/>
      <c r="M403" s="244"/>
      <c r="V403"/>
      <c r="W403"/>
      <c r="X403"/>
      <c r="Y403"/>
    </row>
    <row r="404" spans="1:25" ht="15.75" thickBot="1">
      <c r="A404" s="663" t="s">
        <v>944</v>
      </c>
      <c r="B404" s="15" t="s">
        <v>88</v>
      </c>
      <c r="C404" s="846">
        <f>_xlfn.CEILING.MATH((C397+33.6*$Z$1),0.1)</f>
        <v>115.2</v>
      </c>
      <c r="D404" s="848"/>
      <c r="E404" s="846">
        <f>_xlfn.CEILING.MATH((E397+33.6*$Z$1),0.1)</f>
        <v>134.70000000000002</v>
      </c>
      <c r="F404" s="848"/>
      <c r="G404" s="846">
        <f>_xlfn.CEILING.MATH((G397+33.6*$Z$1),0.1)</f>
        <v>154.20000000000002</v>
      </c>
      <c r="H404" s="848"/>
      <c r="I404" s="846">
        <f>_xlfn.CEILING.MATH((I397+33.6*$Z$1),0.1)</f>
        <v>186.70000000000002</v>
      </c>
      <c r="J404" s="848"/>
      <c r="K404" s="588"/>
      <c r="L404" s="590"/>
      <c r="M404" s="3"/>
      <c r="N404" s="3"/>
      <c r="V404"/>
      <c r="W404"/>
      <c r="X404"/>
      <c r="Y404"/>
    </row>
    <row r="405" spans="1:14" ht="17.25" customHeight="1" thickTop="1">
      <c r="A405" s="664" t="s">
        <v>695</v>
      </c>
      <c r="B405" s="666"/>
      <c r="C405" s="666"/>
      <c r="D405" s="666"/>
      <c r="E405" s="666"/>
      <c r="F405" s="666"/>
      <c r="G405" s="781"/>
      <c r="H405" s="781"/>
      <c r="I405" s="736"/>
      <c r="J405" s="736"/>
      <c r="K405" s="490"/>
      <c r="L405" s="490"/>
      <c r="M405" s="18"/>
      <c r="N405" s="22"/>
    </row>
    <row r="406" spans="1:14" ht="15">
      <c r="A406" s="144" t="s">
        <v>696</v>
      </c>
      <c r="B406" s="67"/>
      <c r="C406" s="67"/>
      <c r="D406" s="67"/>
      <c r="E406" s="67"/>
      <c r="F406" s="67"/>
      <c r="G406" s="67"/>
      <c r="H406" s="67"/>
      <c r="I406" s="67"/>
      <c r="J406" s="67"/>
      <c r="K406" s="440"/>
      <c r="L406" s="440"/>
      <c r="M406" s="22"/>
      <c r="N406" s="22"/>
    </row>
    <row r="407" spans="1:14" ht="15.75" customHeight="1" thickBot="1">
      <c r="A407" s="24"/>
      <c r="B407" s="67"/>
      <c r="C407" s="67"/>
      <c r="D407" s="67"/>
      <c r="E407" s="67"/>
      <c r="F407" s="67"/>
      <c r="G407" s="67"/>
      <c r="H407" s="67"/>
      <c r="I407" s="67"/>
      <c r="J407" s="67"/>
      <c r="K407" s="440"/>
      <c r="L407" s="440"/>
      <c r="M407" s="898"/>
      <c r="N407" s="898"/>
    </row>
    <row r="408" spans="1:14" ht="22.5" customHeight="1" thickTop="1">
      <c r="A408" s="661" t="s">
        <v>74</v>
      </c>
      <c r="B408" s="662"/>
      <c r="C408" s="852" t="s">
        <v>685</v>
      </c>
      <c r="D408" s="853"/>
      <c r="E408" s="1045" t="s">
        <v>697</v>
      </c>
      <c r="F408" s="1046"/>
      <c r="G408" s="852" t="s">
        <v>698</v>
      </c>
      <c r="H408" s="853"/>
      <c r="I408" s="852" t="s">
        <v>668</v>
      </c>
      <c r="J408" s="853"/>
      <c r="K408" s="440"/>
      <c r="L408" s="440"/>
      <c r="M408" s="845"/>
      <c r="N408" s="845"/>
    </row>
    <row r="409" spans="1:14" ht="17.25" customHeight="1">
      <c r="A409" s="78" t="s">
        <v>270</v>
      </c>
      <c r="B409" s="45" t="s">
        <v>82</v>
      </c>
      <c r="C409" s="840">
        <f>CEILING(82*$Z$1,0.1)</f>
        <v>106.60000000000001</v>
      </c>
      <c r="D409" s="844"/>
      <c r="E409" s="840">
        <f>CEILING(167*$Z$1,0.1)</f>
        <v>217.10000000000002</v>
      </c>
      <c r="F409" s="844"/>
      <c r="G409" s="840">
        <f>CEILING(132*$Z$1,0.1)</f>
        <v>171.60000000000002</v>
      </c>
      <c r="H409" s="844"/>
      <c r="I409" s="840">
        <f>CEILING(110*$Z$1,0.1)</f>
        <v>143</v>
      </c>
      <c r="J409" s="844"/>
      <c r="K409" s="521"/>
      <c r="L409" s="440"/>
      <c r="M409" s="845"/>
      <c r="N409" s="845"/>
    </row>
    <row r="410" spans="1:14" ht="15" customHeight="1">
      <c r="A410" s="85" t="s">
        <v>76</v>
      </c>
      <c r="B410" s="14" t="s">
        <v>83</v>
      </c>
      <c r="C410" s="840">
        <f>_xlfn.CEILING.MATH((C409+20.5*$Z$1),0.1)</f>
        <v>133.3</v>
      </c>
      <c r="D410" s="841"/>
      <c r="E410" s="840">
        <f>_xlfn.CEILING.MATH((E409+41.75*$Z$1),0.1)</f>
        <v>271.40000000000003</v>
      </c>
      <c r="F410" s="841"/>
      <c r="G410" s="840">
        <f>_xlfn.CEILING.MATH((G409+33*$Z$1),0.1)</f>
        <v>214.5</v>
      </c>
      <c r="H410" s="841"/>
      <c r="I410" s="840">
        <f>_xlfn.CEILING.MATH((I409+20.5*$Z$1),0.1)</f>
        <v>169.70000000000002</v>
      </c>
      <c r="J410" s="841"/>
      <c r="K410" s="440"/>
      <c r="L410" s="440"/>
      <c r="M410" s="1009"/>
      <c r="N410" s="1009"/>
    </row>
    <row r="411" spans="1:14" ht="15.75" customHeight="1">
      <c r="A411" s="86"/>
      <c r="B411" s="41" t="s">
        <v>78</v>
      </c>
      <c r="C411" s="840">
        <f>CEILING((C409*0.85),0.1)</f>
        <v>90.7</v>
      </c>
      <c r="D411" s="841"/>
      <c r="E411" s="840">
        <f>CEILING((E409*0.85),0.1)</f>
        <v>184.60000000000002</v>
      </c>
      <c r="F411" s="841"/>
      <c r="G411" s="840">
        <f>CEILING((G409*0.85),0.1)</f>
        <v>145.9</v>
      </c>
      <c r="H411" s="841"/>
      <c r="I411" s="840">
        <f>CEILING((I409*0.85),0.1)</f>
        <v>121.60000000000001</v>
      </c>
      <c r="J411" s="841"/>
      <c r="K411" s="527"/>
      <c r="L411" s="527"/>
      <c r="M411" s="845"/>
      <c r="N411" s="845"/>
    </row>
    <row r="412" spans="1:14" ht="16.5" customHeight="1">
      <c r="A412" s="86"/>
      <c r="B412" s="14" t="s">
        <v>94</v>
      </c>
      <c r="C412" s="840">
        <f>_xlfn.CEILING.MATH((C409+45*$Z$1),0.1)</f>
        <v>165.10000000000002</v>
      </c>
      <c r="D412" s="841"/>
      <c r="E412" s="840">
        <f>_xlfn.CEILING.MATH((E409+45*$Z$1),0.1)</f>
        <v>275.6</v>
      </c>
      <c r="F412" s="841"/>
      <c r="G412" s="840">
        <f>_xlfn.CEILING.MATH((G409+45*$Z$1),0.1)</f>
        <v>230.10000000000002</v>
      </c>
      <c r="H412" s="841"/>
      <c r="I412" s="840">
        <f>_xlfn.CEILING.MATH((I409+45*$Z$1),0.1)</f>
        <v>201.5</v>
      </c>
      <c r="J412" s="841"/>
      <c r="K412" s="503"/>
      <c r="L412" s="503"/>
      <c r="M412" s="845"/>
      <c r="N412" s="845"/>
    </row>
    <row r="413" spans="1:14" ht="17.25" customHeight="1" thickBot="1">
      <c r="A413" s="663" t="s">
        <v>944</v>
      </c>
      <c r="B413" s="14" t="s">
        <v>271</v>
      </c>
      <c r="C413" s="846">
        <f>_xlfn.CEILING.MATH((C409+224*$Z$1),0.1)</f>
        <v>397.8</v>
      </c>
      <c r="D413" s="848"/>
      <c r="E413" s="846">
        <f>_xlfn.CEILING.MATH((E409+224*$Z$1),0.1)</f>
        <v>508.3</v>
      </c>
      <c r="F413" s="848"/>
      <c r="G413" s="846">
        <f>_xlfn.CEILING.MATH((G409+224*$Z$1),0.1)</f>
        <v>462.8</v>
      </c>
      <c r="H413" s="848"/>
      <c r="I413" s="846">
        <f>_xlfn.CEILING.MATH((I409+224*$Z$1),0.1)</f>
        <v>434.20000000000005</v>
      </c>
      <c r="J413" s="848"/>
      <c r="K413" s="503"/>
      <c r="L413" s="503"/>
      <c r="M413" s="22"/>
      <c r="N413" s="22"/>
    </row>
    <row r="414" spans="1:13" ht="15.75" thickTop="1">
      <c r="A414" s="1010" t="s">
        <v>528</v>
      </c>
      <c r="B414" s="1010"/>
      <c r="C414" s="1011"/>
      <c r="D414" s="1011"/>
      <c r="E414" s="1011"/>
      <c r="F414" s="1011"/>
      <c r="G414" s="1011"/>
      <c r="H414" s="1011"/>
      <c r="I414" s="52"/>
      <c r="J414" s="52"/>
      <c r="K414" s="503"/>
      <c r="L414" s="503"/>
      <c r="M414" s="244"/>
    </row>
    <row r="415" spans="1:25" ht="15">
      <c r="A415" s="640" t="s">
        <v>529</v>
      </c>
      <c r="B415" s="24"/>
      <c r="C415" s="24"/>
      <c r="D415" s="24"/>
      <c r="E415" s="24"/>
      <c r="F415" s="24"/>
      <c r="G415" s="24"/>
      <c r="H415" s="24"/>
      <c r="I415" s="52"/>
      <c r="J415" s="52"/>
      <c r="K415" s="503"/>
      <c r="L415" s="503"/>
      <c r="M415" s="22"/>
      <c r="N415" s="22"/>
      <c r="X415"/>
      <c r="Y415"/>
    </row>
    <row r="416" spans="1:14" ht="16.5" customHeight="1">
      <c r="A416" s="734" t="s">
        <v>695</v>
      </c>
      <c r="B416" s="441"/>
      <c r="C416" s="441"/>
      <c r="D416" s="24"/>
      <c r="E416" s="24"/>
      <c r="F416" s="24"/>
      <c r="G416" s="24"/>
      <c r="H416" s="24"/>
      <c r="I416" s="24"/>
      <c r="J416" s="24"/>
      <c r="K416" s="503"/>
      <c r="L416" s="503"/>
      <c r="M416" s="898"/>
      <c r="N416" s="898"/>
    </row>
    <row r="417" spans="1:14" ht="15.75" thickBot="1">
      <c r="A417" s="88"/>
      <c r="B417" s="62"/>
      <c r="C417" s="2"/>
      <c r="D417" s="2"/>
      <c r="E417" s="2"/>
      <c r="F417" s="2"/>
      <c r="G417" s="2"/>
      <c r="H417" s="2"/>
      <c r="I417" s="2"/>
      <c r="J417" s="2"/>
      <c r="K417" s="242"/>
      <c r="L417" s="242"/>
      <c r="M417" s="845"/>
      <c r="N417" s="845"/>
    </row>
    <row r="418" spans="1:14" ht="22.5" customHeight="1" thickTop="1">
      <c r="A418" s="395" t="s">
        <v>74</v>
      </c>
      <c r="B418" s="94"/>
      <c r="C418" s="858" t="s">
        <v>665</v>
      </c>
      <c r="D418" s="859"/>
      <c r="E418" s="858" t="s">
        <v>716</v>
      </c>
      <c r="F418" s="859"/>
      <c r="G418" s="858" t="s">
        <v>710</v>
      </c>
      <c r="H418" s="859"/>
      <c r="I418" s="885" t="s">
        <v>676</v>
      </c>
      <c r="J418" s="886"/>
      <c r="K418" s="885" t="s">
        <v>668</v>
      </c>
      <c r="L418" s="1086"/>
      <c r="M418" s="842"/>
      <c r="N418" s="845"/>
    </row>
    <row r="419" spans="1:14" ht="15.75" customHeight="1">
      <c r="A419" s="78" t="s">
        <v>125</v>
      </c>
      <c r="B419" s="45" t="s">
        <v>82</v>
      </c>
      <c r="C419" s="840">
        <f>CEILING(56*$Z$1,0.1)</f>
        <v>72.8</v>
      </c>
      <c r="D419" s="844"/>
      <c r="E419" s="840">
        <f>CEILING(100*$Z$1,0.1)</f>
        <v>130</v>
      </c>
      <c r="F419" s="844"/>
      <c r="G419" s="840">
        <f>CEILING(75*$Z$1,0.1)</f>
        <v>97.5</v>
      </c>
      <c r="H419" s="844"/>
      <c r="I419" s="840">
        <f>CEILING(90*$Z$1,0.1)</f>
        <v>117</v>
      </c>
      <c r="J419" s="844"/>
      <c r="K419" s="840">
        <f>CEILING(72*$Z$1,0.1)</f>
        <v>93.60000000000001</v>
      </c>
      <c r="L419" s="844"/>
      <c r="M419" s="23"/>
      <c r="N419" s="22"/>
    </row>
    <row r="420" spans="1:14" ht="15">
      <c r="A420" s="40" t="s">
        <v>91</v>
      </c>
      <c r="B420" s="14" t="s">
        <v>83</v>
      </c>
      <c r="C420" s="840">
        <f>CEILING((C419+35*$Z$1),0.1)</f>
        <v>118.30000000000001</v>
      </c>
      <c r="D420" s="841"/>
      <c r="E420" s="840">
        <f>CEILING((E419+45*$Z$1),0.1)</f>
        <v>188.5</v>
      </c>
      <c r="F420" s="841"/>
      <c r="G420" s="840">
        <f>CEILING((G419+40*$Z$1),0.1)</f>
        <v>149.5</v>
      </c>
      <c r="H420" s="841"/>
      <c r="I420" s="840">
        <f>CEILING((I419+40*$Z$1),0.1)</f>
        <v>169</v>
      </c>
      <c r="J420" s="841"/>
      <c r="K420" s="840">
        <f>CEILING((K419+35*$Z$1),0.1)</f>
        <v>139.1</v>
      </c>
      <c r="L420" s="844"/>
      <c r="M420" s="23"/>
      <c r="N420" s="22"/>
    </row>
    <row r="421" spans="1:14" ht="15">
      <c r="A421" s="330"/>
      <c r="B421" s="14" t="s">
        <v>78</v>
      </c>
      <c r="C421" s="840">
        <f>CEILING((C419*0.85),0.1)</f>
        <v>61.900000000000006</v>
      </c>
      <c r="D421" s="841"/>
      <c r="E421" s="840">
        <f>CEILING((E419*0.85),0.1)</f>
        <v>110.5</v>
      </c>
      <c r="F421" s="841"/>
      <c r="G421" s="840">
        <f>CEILING((G419*0.85),0.1)</f>
        <v>82.9</v>
      </c>
      <c r="H421" s="841"/>
      <c r="I421" s="840">
        <f>CEILING((I419*0.85),0.1)</f>
        <v>99.5</v>
      </c>
      <c r="J421" s="841"/>
      <c r="K421" s="840">
        <f>CEILING((K419*0.85),0.1)</f>
        <v>79.60000000000001</v>
      </c>
      <c r="L421" s="841"/>
      <c r="M421" s="18"/>
      <c r="N421" s="22"/>
    </row>
    <row r="422" spans="1:14" ht="15">
      <c r="A422" s="330"/>
      <c r="B422" s="14" t="s">
        <v>126</v>
      </c>
      <c r="C422" s="842">
        <v>0</v>
      </c>
      <c r="D422" s="843"/>
      <c r="E422" s="842">
        <v>0</v>
      </c>
      <c r="F422" s="843"/>
      <c r="G422" s="842">
        <v>0</v>
      </c>
      <c r="H422" s="843"/>
      <c r="I422" s="842">
        <v>0</v>
      </c>
      <c r="J422" s="843"/>
      <c r="K422" s="842">
        <v>0</v>
      </c>
      <c r="L422" s="843"/>
      <c r="M422" s="18"/>
      <c r="N422" s="22"/>
    </row>
    <row r="423" spans="1:14" ht="15.75" customHeight="1">
      <c r="A423" s="330"/>
      <c r="B423" s="14" t="s">
        <v>196</v>
      </c>
      <c r="C423" s="840">
        <f>CEILING((C419+35*$Z$1),0.1)</f>
        <v>118.30000000000001</v>
      </c>
      <c r="D423" s="841"/>
      <c r="E423" s="840">
        <f>CEILING((E419+35*$Z$1),0.1)</f>
        <v>175.5</v>
      </c>
      <c r="F423" s="841"/>
      <c r="G423" s="840">
        <f>CEILING((G419+35*$Z$1),0.1)</f>
        <v>143</v>
      </c>
      <c r="H423" s="841"/>
      <c r="I423" s="840">
        <f>CEILING((I419+35*$Z$1),0.1)</f>
        <v>162.5</v>
      </c>
      <c r="J423" s="841"/>
      <c r="K423" s="840">
        <f>CEILING((K419+35*$Z$1),0.1)</f>
        <v>139.1</v>
      </c>
      <c r="L423" s="841"/>
      <c r="M423" s="18"/>
      <c r="N423" s="22"/>
    </row>
    <row r="424" spans="1:14" ht="16.5" customHeight="1" thickBot="1">
      <c r="A424" s="573" t="s">
        <v>943</v>
      </c>
      <c r="B424" s="15" t="s">
        <v>358</v>
      </c>
      <c r="C424" s="846">
        <f>CEILING((C423+35*$Z$1),0.1)</f>
        <v>163.8</v>
      </c>
      <c r="D424" s="848"/>
      <c r="E424" s="846">
        <f>CEILING((E423+45*$Z$1),0.1)</f>
        <v>234</v>
      </c>
      <c r="F424" s="848"/>
      <c r="G424" s="846">
        <f>CEILING((G423+40*$Z$1),0.1)</f>
        <v>195</v>
      </c>
      <c r="H424" s="848"/>
      <c r="I424" s="846">
        <f>CEILING((I423+40*$Z$1),0.1)</f>
        <v>214.5</v>
      </c>
      <c r="J424" s="848"/>
      <c r="K424" s="846">
        <f>CEILING((K423+35*$Z$1),0.1)</f>
        <v>184.60000000000002</v>
      </c>
      <c r="L424" s="848"/>
      <c r="M424" s="18"/>
      <c r="N424" s="22"/>
    </row>
    <row r="425" spans="1:14" ht="15.75" customHeight="1" thickTop="1">
      <c r="A425" s="199" t="s">
        <v>990</v>
      </c>
      <c r="B425" s="199"/>
      <c r="C425" s="222"/>
      <c r="D425" s="222"/>
      <c r="E425" s="222"/>
      <c r="F425" s="222"/>
      <c r="G425" s="222"/>
      <c r="H425" s="222"/>
      <c r="I425" s="222"/>
      <c r="J425" s="222"/>
      <c r="K425" s="668"/>
      <c r="L425" s="669"/>
      <c r="M425" s="22"/>
      <c r="N425" s="22"/>
    </row>
    <row r="426" spans="1:14" ht="20.25" customHeight="1" thickBot="1">
      <c r="A426" s="92"/>
      <c r="B426" s="71"/>
      <c r="C426" s="71"/>
      <c r="D426" s="71"/>
      <c r="E426" s="71"/>
      <c r="F426" s="71"/>
      <c r="G426" s="71"/>
      <c r="H426" s="71"/>
      <c r="I426" s="71"/>
      <c r="J426" s="71"/>
      <c r="K426" s="242"/>
      <c r="L426" s="242"/>
      <c r="M426" s="22"/>
      <c r="N426" s="22"/>
    </row>
    <row r="427" spans="1:14" ht="22.5" customHeight="1" thickTop="1">
      <c r="A427" s="93" t="s">
        <v>74</v>
      </c>
      <c r="B427" s="94"/>
      <c r="C427" s="858" t="s">
        <v>665</v>
      </c>
      <c r="D427" s="859"/>
      <c r="E427" s="858" t="s">
        <v>716</v>
      </c>
      <c r="F427" s="859"/>
      <c r="G427" s="858" t="s">
        <v>710</v>
      </c>
      <c r="H427" s="859"/>
      <c r="I427" s="885" t="s">
        <v>676</v>
      </c>
      <c r="J427" s="886"/>
      <c r="K427" s="885" t="s">
        <v>668</v>
      </c>
      <c r="L427" s="1086"/>
      <c r="M427" s="23"/>
      <c r="N427" s="22"/>
    </row>
    <row r="428" spans="1:14" ht="16.5" customHeight="1">
      <c r="A428" s="103" t="s">
        <v>127</v>
      </c>
      <c r="B428" s="45" t="s">
        <v>82</v>
      </c>
      <c r="C428" s="837">
        <f>CEILING(52*$Z$1,0.1)</f>
        <v>67.60000000000001</v>
      </c>
      <c r="D428" s="838"/>
      <c r="E428" s="837">
        <f>CEILING(95*$Z$1,0.1)</f>
        <v>123.5</v>
      </c>
      <c r="F428" s="838"/>
      <c r="G428" s="837">
        <f>CEILING(71*$Z$1,0.1)</f>
        <v>92.30000000000001</v>
      </c>
      <c r="H428" s="838"/>
      <c r="I428" s="837">
        <f>CEILING(87*$Z$1,0.1)</f>
        <v>113.10000000000001</v>
      </c>
      <c r="J428" s="838"/>
      <c r="K428" s="837">
        <f>CEILING(67*$Z$1,0.1)</f>
        <v>87.10000000000001</v>
      </c>
      <c r="L428" s="838"/>
      <c r="M428" s="23"/>
      <c r="N428" s="22"/>
    </row>
    <row r="429" spans="1:14" ht="16.5" customHeight="1">
      <c r="A429" s="262" t="s">
        <v>91</v>
      </c>
      <c r="B429" s="14" t="s">
        <v>83</v>
      </c>
      <c r="C429" s="840">
        <f>CEILING((C428+30*$Z$1),0.1)</f>
        <v>106.60000000000001</v>
      </c>
      <c r="D429" s="841"/>
      <c r="E429" s="840">
        <f>CEILING((E428+40*$Z$1),0.1)</f>
        <v>175.5</v>
      </c>
      <c r="F429" s="841"/>
      <c r="G429" s="840">
        <f>CEILING((G428+35*$Z$1),0.1)</f>
        <v>137.8</v>
      </c>
      <c r="H429" s="841"/>
      <c r="I429" s="840">
        <f>CEILING((I428+35*$Z$1),0.1)</f>
        <v>158.60000000000002</v>
      </c>
      <c r="J429" s="841"/>
      <c r="K429" s="840">
        <f>CEILING((K428+35*$Z$1),0.1)</f>
        <v>132.6</v>
      </c>
      <c r="L429" s="844"/>
      <c r="M429" s="23"/>
      <c r="N429" s="22"/>
    </row>
    <row r="430" spans="1:14" ht="17.25" customHeight="1" thickBot="1">
      <c r="A430" s="573" t="s">
        <v>942</v>
      </c>
      <c r="B430" s="15" t="s">
        <v>78</v>
      </c>
      <c r="C430" s="846">
        <f>CEILING((C428*0.85),0.1)</f>
        <v>57.5</v>
      </c>
      <c r="D430" s="848"/>
      <c r="E430" s="846">
        <f>CEILING((E428*0.85),0.1)</f>
        <v>105</v>
      </c>
      <c r="F430" s="848"/>
      <c r="G430" s="846">
        <f>CEILING((G428*0.85),0.1)</f>
        <v>78.5</v>
      </c>
      <c r="H430" s="848"/>
      <c r="I430" s="846">
        <f>CEILING((I428*0.85),0.1)</f>
        <v>96.2</v>
      </c>
      <c r="J430" s="848"/>
      <c r="K430" s="846">
        <f>CEILING((K428*0.85),0.1)</f>
        <v>74.10000000000001</v>
      </c>
      <c r="L430" s="848"/>
      <c r="M430" s="22"/>
      <c r="N430" s="22"/>
    </row>
    <row r="431" spans="1:14" ht="17.25" customHeight="1" thickTop="1">
      <c r="A431" s="1064" t="s">
        <v>284</v>
      </c>
      <c r="B431" s="869"/>
      <c r="C431" s="869"/>
      <c r="D431" s="869"/>
      <c r="E431" s="869"/>
      <c r="F431" s="869"/>
      <c r="G431" s="869"/>
      <c r="H431" s="869"/>
      <c r="I431" s="869"/>
      <c r="J431" s="869"/>
      <c r="K431" s="241"/>
      <c r="L431" s="241"/>
      <c r="M431" s="22"/>
      <c r="N431" s="22"/>
    </row>
    <row r="432" spans="1:14" ht="16.5" customHeight="1">
      <c r="A432" s="834" t="s">
        <v>991</v>
      </c>
      <c r="B432" s="834"/>
      <c r="C432" s="834"/>
      <c r="D432" s="834"/>
      <c r="E432" s="834"/>
      <c r="F432" s="834"/>
      <c r="G432" s="834"/>
      <c r="H432" s="834"/>
      <c r="I432" s="834"/>
      <c r="J432" s="834"/>
      <c r="K432" s="241"/>
      <c r="L432" s="503"/>
      <c r="M432" s="22"/>
      <c r="N432" s="22"/>
    </row>
    <row r="433" spans="1:14" ht="15.75" thickBot="1">
      <c r="A433" s="95"/>
      <c r="B433" s="90"/>
      <c r="C433" s="2"/>
      <c r="D433" s="2"/>
      <c r="E433" s="2"/>
      <c r="F433" s="2"/>
      <c r="G433" s="2"/>
      <c r="H433" s="2"/>
      <c r="I433" s="2"/>
      <c r="J433" s="2"/>
      <c r="K433" s="524"/>
      <c r="L433" s="524"/>
      <c r="M433" s="18"/>
      <c r="N433" s="22"/>
    </row>
    <row r="434" spans="1:14" ht="22.5" customHeight="1" thickTop="1">
      <c r="A434" s="470" t="s">
        <v>74</v>
      </c>
      <c r="B434" s="471"/>
      <c r="C434" s="870" t="s">
        <v>665</v>
      </c>
      <c r="D434" s="871"/>
      <c r="E434" s="852" t="s">
        <v>996</v>
      </c>
      <c r="F434" s="853"/>
      <c r="G434" s="941" t="s">
        <v>997</v>
      </c>
      <c r="H434" s="942"/>
      <c r="I434" s="854" t="s">
        <v>998</v>
      </c>
      <c r="J434" s="930"/>
      <c r="K434" s="854" t="s">
        <v>999</v>
      </c>
      <c r="L434" s="855"/>
      <c r="M434" s="23"/>
      <c r="N434" s="22"/>
    </row>
    <row r="435" spans="1:14" ht="17.25" customHeight="1">
      <c r="A435" s="78" t="s">
        <v>580</v>
      </c>
      <c r="B435" s="14" t="s">
        <v>1000</v>
      </c>
      <c r="C435" s="840">
        <f>CEILING(49*$Z$1,0.1)</f>
        <v>63.7</v>
      </c>
      <c r="D435" s="844"/>
      <c r="E435" s="840">
        <f>CEILING(99*$Z$1,0.1)</f>
        <v>128.70000000000002</v>
      </c>
      <c r="F435" s="844"/>
      <c r="G435" s="840">
        <f>CEILING(78*$Z$1,0.1)</f>
        <v>101.4</v>
      </c>
      <c r="H435" s="844"/>
      <c r="I435" s="840">
        <f>CEILING(90*$Z$1,0.1)</f>
        <v>117</v>
      </c>
      <c r="J435" s="844"/>
      <c r="K435" s="840">
        <f>CEILING(57*$Z$1,0.1)</f>
        <v>74.10000000000001</v>
      </c>
      <c r="L435" s="844"/>
      <c r="M435" s="23"/>
      <c r="N435" s="22"/>
    </row>
    <row r="436" spans="1:14" ht="19.5" customHeight="1">
      <c r="A436" s="40" t="s">
        <v>91</v>
      </c>
      <c r="B436" s="14" t="s">
        <v>1001</v>
      </c>
      <c r="C436" s="840">
        <f>CEILING((C435+20*$Z$1),0.1)</f>
        <v>89.7</v>
      </c>
      <c r="D436" s="841"/>
      <c r="E436" s="840">
        <f>CEILING((E435+20*$Z$1),0.1)</f>
        <v>154.70000000000002</v>
      </c>
      <c r="F436" s="841"/>
      <c r="G436" s="840">
        <f>CEILING((G435+20*$Z$1),0.1)</f>
        <v>127.4</v>
      </c>
      <c r="H436" s="841"/>
      <c r="I436" s="840">
        <f>CEILING((I435+20*$Z$1),0.1)</f>
        <v>143</v>
      </c>
      <c r="J436" s="841"/>
      <c r="K436" s="840">
        <f>CEILING((K435+20*$Z$1),0.1)</f>
        <v>100.10000000000001</v>
      </c>
      <c r="L436" s="841"/>
      <c r="M436" s="76"/>
      <c r="N436" s="30"/>
    </row>
    <row r="437" spans="1:14" ht="17.25" customHeight="1">
      <c r="A437" s="40" t="s">
        <v>581</v>
      </c>
      <c r="B437" s="14" t="s">
        <v>78</v>
      </c>
      <c r="C437" s="840">
        <f>CEILING((C435*0.85),0.1)</f>
        <v>54.2</v>
      </c>
      <c r="D437" s="841"/>
      <c r="E437" s="840">
        <f>CEILING((E435*0.85),0.1)</f>
        <v>109.4</v>
      </c>
      <c r="F437" s="841"/>
      <c r="G437" s="840">
        <f>CEILING((G435*0.85),0.1)</f>
        <v>86.2</v>
      </c>
      <c r="H437" s="841"/>
      <c r="I437" s="840">
        <f>CEILING((I435*0.85),0.1)</f>
        <v>99.5</v>
      </c>
      <c r="J437" s="841"/>
      <c r="K437" s="840">
        <f>CEILING((K435*0.85),0.1)</f>
        <v>63</v>
      </c>
      <c r="L437" s="841"/>
      <c r="M437" s="18"/>
      <c r="N437" s="22"/>
    </row>
    <row r="438" spans="1:14" ht="18" customHeight="1" thickBot="1">
      <c r="A438" s="140" t="s">
        <v>941</v>
      </c>
      <c r="B438" s="15" t="s">
        <v>115</v>
      </c>
      <c r="C438" s="846">
        <f>CEILING((C435*0.5),0.1)</f>
        <v>31.900000000000002</v>
      </c>
      <c r="D438" s="848"/>
      <c r="E438" s="846">
        <f>CEILING((E435*0.5),0.1)</f>
        <v>64.4</v>
      </c>
      <c r="F438" s="848"/>
      <c r="G438" s="846">
        <f>CEILING((G435*0.5),0.1)</f>
        <v>50.7</v>
      </c>
      <c r="H438" s="848"/>
      <c r="I438" s="846">
        <f>CEILING((I435*0.5),0.1)</f>
        <v>58.5</v>
      </c>
      <c r="J438" s="848"/>
      <c r="K438" s="846">
        <f>CEILING((K435*0.5),0.1)</f>
        <v>37.1</v>
      </c>
      <c r="L438" s="848"/>
      <c r="M438" s="18"/>
      <c r="N438" s="22"/>
    </row>
    <row r="439" spans="1:14" ht="15.75" thickTop="1">
      <c r="A439" s="144" t="s">
        <v>1002</v>
      </c>
      <c r="B439" s="72"/>
      <c r="C439" s="72"/>
      <c r="D439" s="72"/>
      <c r="E439" s="72"/>
      <c r="F439" s="72"/>
      <c r="G439" s="72"/>
      <c r="H439" s="72"/>
      <c r="I439" s="72"/>
      <c r="J439" s="72"/>
      <c r="K439" s="128"/>
      <c r="L439" s="502"/>
      <c r="M439" s="18"/>
      <c r="N439" s="22"/>
    </row>
    <row r="440" spans="1:14" ht="22.5" customHeight="1" thickBot="1">
      <c r="A440" s="456"/>
      <c r="B440" s="456"/>
      <c r="C440" s="434"/>
      <c r="D440" s="434"/>
      <c r="E440" s="434"/>
      <c r="F440" s="72"/>
      <c r="G440" s="72"/>
      <c r="H440" s="72"/>
      <c r="I440" s="72"/>
      <c r="J440" s="72"/>
      <c r="K440" s="128"/>
      <c r="L440" s="502"/>
      <c r="M440" s="22"/>
      <c r="N440" s="22"/>
    </row>
    <row r="441" spans="1:14" ht="24.75" customHeight="1" thickTop="1">
      <c r="A441" s="470" t="s">
        <v>74</v>
      </c>
      <c r="B441" s="471"/>
      <c r="C441" s="870" t="s">
        <v>665</v>
      </c>
      <c r="D441" s="871"/>
      <c r="E441" s="852" t="s">
        <v>996</v>
      </c>
      <c r="F441" s="853"/>
      <c r="G441" s="941" t="s">
        <v>997</v>
      </c>
      <c r="H441" s="942"/>
      <c r="I441" s="854" t="s">
        <v>998</v>
      </c>
      <c r="J441" s="930"/>
      <c r="K441" s="854" t="s">
        <v>999</v>
      </c>
      <c r="L441" s="855"/>
      <c r="M441" s="23"/>
      <c r="N441" s="22"/>
    </row>
    <row r="442" spans="1:14" ht="15">
      <c r="A442" s="78" t="s">
        <v>579</v>
      </c>
      <c r="B442" s="14" t="s">
        <v>82</v>
      </c>
      <c r="C442" s="840">
        <f>CEILING(55*$Z$1,0.1)</f>
        <v>71.5</v>
      </c>
      <c r="D442" s="844"/>
      <c r="E442" s="840">
        <f>CEILING(105*$Z$1,0.1)</f>
        <v>136.5</v>
      </c>
      <c r="F442" s="844"/>
      <c r="G442" s="840">
        <f>CEILING(84*$Z$1,0.1)</f>
        <v>109.2</v>
      </c>
      <c r="H442" s="844"/>
      <c r="I442" s="840">
        <f>CEILING(96*$Z$1,0.1)</f>
        <v>124.80000000000001</v>
      </c>
      <c r="J442" s="844"/>
      <c r="K442" s="840">
        <f>CEILING(63*$Z$1,0.1)</f>
        <v>81.9</v>
      </c>
      <c r="L442" s="844"/>
      <c r="M442" s="23"/>
      <c r="N442" s="22"/>
    </row>
    <row r="443" spans="1:14" ht="15">
      <c r="A443" s="40" t="s">
        <v>91</v>
      </c>
      <c r="B443" s="14" t="s">
        <v>83</v>
      </c>
      <c r="C443" s="840">
        <f>CEILING((C442+20*$Z$1),0.1)</f>
        <v>97.5</v>
      </c>
      <c r="D443" s="841"/>
      <c r="E443" s="840">
        <f>CEILING((E442+20*$Z$1),0.1)</f>
        <v>162.5</v>
      </c>
      <c r="F443" s="841"/>
      <c r="G443" s="840">
        <f>CEILING((G442+20*$Z$1),0.1)</f>
        <v>135.20000000000002</v>
      </c>
      <c r="H443" s="841"/>
      <c r="I443" s="840">
        <f>CEILING((I442+20*$Z$1),0.1)</f>
        <v>150.8</v>
      </c>
      <c r="J443" s="841"/>
      <c r="K443" s="840">
        <f>CEILING((K442+20*$Z$1),0.1)</f>
        <v>107.9</v>
      </c>
      <c r="L443" s="841"/>
      <c r="M443" s="22"/>
      <c r="N443" s="22"/>
    </row>
    <row r="444" spans="1:14" ht="15.75" customHeight="1">
      <c r="A444" s="40"/>
      <c r="B444" s="14" t="s">
        <v>78</v>
      </c>
      <c r="C444" s="840">
        <f>CEILING((C442*0.85),0.1)</f>
        <v>60.800000000000004</v>
      </c>
      <c r="D444" s="841"/>
      <c r="E444" s="840">
        <f>CEILING((E442*0.85),0.1)</f>
        <v>116.10000000000001</v>
      </c>
      <c r="F444" s="841"/>
      <c r="G444" s="840">
        <f>CEILING((G442*0.85),0.1)</f>
        <v>92.9</v>
      </c>
      <c r="H444" s="841"/>
      <c r="I444" s="840">
        <f>CEILING((I442*0.85),0.1)</f>
        <v>106.10000000000001</v>
      </c>
      <c r="J444" s="841"/>
      <c r="K444" s="840">
        <f>CEILING((K442*0.85),0.1)</f>
        <v>69.7</v>
      </c>
      <c r="L444" s="841"/>
      <c r="M444" s="22"/>
      <c r="N444" s="22"/>
    </row>
    <row r="445" spans="1:14" ht="15.75" thickBot="1">
      <c r="A445" s="140" t="s">
        <v>941</v>
      </c>
      <c r="B445" s="15" t="s">
        <v>115</v>
      </c>
      <c r="C445" s="846">
        <f>CEILING((C442*0.5),0.1)</f>
        <v>35.800000000000004</v>
      </c>
      <c r="D445" s="848"/>
      <c r="E445" s="846">
        <f>CEILING((E442*0.5),0.1)</f>
        <v>68.3</v>
      </c>
      <c r="F445" s="848"/>
      <c r="G445" s="846">
        <f>CEILING((G442*0.5),0.1)</f>
        <v>54.6</v>
      </c>
      <c r="H445" s="848"/>
      <c r="I445" s="846">
        <f>CEILING((I442*0.5),0.1)</f>
        <v>62.400000000000006</v>
      </c>
      <c r="J445" s="848"/>
      <c r="K445" s="846">
        <f>CEILING((K442*0.5),0.1)</f>
        <v>41</v>
      </c>
      <c r="L445" s="848"/>
      <c r="M445" s="22"/>
      <c r="N445" s="22"/>
    </row>
    <row r="446" spans="1:14" ht="15.75" thickTop="1">
      <c r="A446" s="144" t="s">
        <v>760</v>
      </c>
      <c r="B446" s="72"/>
      <c r="C446" s="72"/>
      <c r="D446" s="72"/>
      <c r="E446" s="72"/>
      <c r="F446" s="72"/>
      <c r="G446" s="72"/>
      <c r="H446" s="72"/>
      <c r="I446" s="72"/>
      <c r="J446" s="72"/>
      <c r="K446" s="128"/>
      <c r="L446" s="502"/>
      <c r="M446" s="22"/>
      <c r="N446" s="22"/>
    </row>
    <row r="447" spans="1:25" s="724" customFormat="1" ht="17.25" customHeight="1" thickBot="1">
      <c r="A447" s="144"/>
      <c r="B447" s="72"/>
      <c r="C447" s="71"/>
      <c r="D447" s="71"/>
      <c r="E447" s="71"/>
      <c r="F447" s="71"/>
      <c r="G447" s="71"/>
      <c r="H447" s="71"/>
      <c r="I447" s="71"/>
      <c r="J447" s="71"/>
      <c r="K447" s="730"/>
      <c r="L447" s="730"/>
      <c r="M447" s="22"/>
      <c r="N447" s="22"/>
      <c r="O447" s="244"/>
      <c r="P447" s="244"/>
      <c r="Q447" s="244"/>
      <c r="R447" s="244"/>
      <c r="S447" s="244"/>
      <c r="T447" s="244"/>
      <c r="U447" s="244"/>
      <c r="V447" s="244"/>
      <c r="W447" s="244"/>
      <c r="X447" s="244"/>
      <c r="Y447" s="244"/>
    </row>
    <row r="448" spans="1:25" s="724" customFormat="1" ht="24" customHeight="1" thickTop="1">
      <c r="A448" s="10" t="s">
        <v>74</v>
      </c>
      <c r="B448" s="108"/>
      <c r="C448" s="889" t="s">
        <v>665</v>
      </c>
      <c r="D448" s="890"/>
      <c r="E448" s="858" t="s">
        <v>716</v>
      </c>
      <c r="F448" s="859"/>
      <c r="G448" s="860" t="s">
        <v>710</v>
      </c>
      <c r="H448" s="861"/>
      <c r="I448" s="860" t="s">
        <v>676</v>
      </c>
      <c r="J448" s="862"/>
      <c r="K448" s="860" t="s">
        <v>668</v>
      </c>
      <c r="L448" s="862"/>
      <c r="M448" s="23"/>
      <c r="N448" s="22"/>
      <c r="O448" s="244"/>
      <c r="P448" s="244"/>
      <c r="Q448" s="244"/>
      <c r="R448" s="244"/>
      <c r="S448" s="244"/>
      <c r="T448" s="244"/>
      <c r="U448" s="244"/>
      <c r="V448" s="244"/>
      <c r="W448" s="244"/>
      <c r="X448" s="244"/>
      <c r="Y448" s="244"/>
    </row>
    <row r="449" spans="1:25" s="724" customFormat="1" ht="17.25" customHeight="1">
      <c r="A449" s="78" t="s">
        <v>761</v>
      </c>
      <c r="B449" s="34" t="s">
        <v>82</v>
      </c>
      <c r="C449" s="840">
        <f>CEILING(55*$Z$1,0.1)</f>
        <v>71.5</v>
      </c>
      <c r="D449" s="844"/>
      <c r="E449" s="840">
        <f>CEILING(113*$Z$1,0.1)</f>
        <v>146.9</v>
      </c>
      <c r="F449" s="844"/>
      <c r="G449" s="840">
        <f>CEILING(72*$Z$1,0.1)</f>
        <v>93.60000000000001</v>
      </c>
      <c r="H449" s="844"/>
      <c r="I449" s="840">
        <f>CEILING(77*$Z$1,0.1)</f>
        <v>100.10000000000001</v>
      </c>
      <c r="J449" s="844"/>
      <c r="K449" s="840">
        <f>CEILING(65*$Z$1,0.1)</f>
        <v>84.5</v>
      </c>
      <c r="L449" s="844"/>
      <c r="M449" s="23"/>
      <c r="N449" s="22"/>
      <c r="O449" s="244"/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</row>
    <row r="450" spans="1:25" s="724" customFormat="1" ht="17.25" customHeight="1">
      <c r="A450" s="705"/>
      <c r="B450" s="34" t="s">
        <v>83</v>
      </c>
      <c r="C450" s="840">
        <f>_xlfn.CEILING.MATH((C449+29*$Z$1),0.1)</f>
        <v>109.2</v>
      </c>
      <c r="D450" s="841"/>
      <c r="E450" s="840">
        <f>_xlfn.CEILING.MATH((E449+29*$Z$1),0.1)</f>
        <v>184.60000000000002</v>
      </c>
      <c r="F450" s="841"/>
      <c r="G450" s="840">
        <f>_xlfn.CEILING.MATH((G449+29*$Z$1),0.1)</f>
        <v>131.3</v>
      </c>
      <c r="H450" s="841"/>
      <c r="I450" s="840">
        <f>_xlfn.CEILING.MATH((I449+29*$Z$1),0.1)</f>
        <v>137.8</v>
      </c>
      <c r="J450" s="841"/>
      <c r="K450" s="840">
        <f>_xlfn.CEILING.MATH((K449+29*$Z$1),0.1)</f>
        <v>122.2</v>
      </c>
      <c r="L450" s="841"/>
      <c r="M450" s="23"/>
      <c r="N450" s="22"/>
      <c r="O450" s="244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</row>
    <row r="451" spans="1:25" s="724" customFormat="1" ht="17.25" customHeight="1">
      <c r="A451" s="106"/>
      <c r="B451" s="34" t="s">
        <v>78</v>
      </c>
      <c r="C451" s="840">
        <f>CEILING((C449*0.85),0.1)</f>
        <v>60.800000000000004</v>
      </c>
      <c r="D451" s="841"/>
      <c r="E451" s="840">
        <f>CEILING((E449*0.85),0.1)</f>
        <v>124.9</v>
      </c>
      <c r="F451" s="841"/>
      <c r="G451" s="840">
        <f>CEILING((G449*0.85),0.1)</f>
        <v>79.60000000000001</v>
      </c>
      <c r="H451" s="841"/>
      <c r="I451" s="840">
        <f>CEILING((I449*0.85),0.1)</f>
        <v>85.10000000000001</v>
      </c>
      <c r="J451" s="841"/>
      <c r="K451" s="840">
        <f>CEILING((K449*0.85),0.1)</f>
        <v>71.9</v>
      </c>
      <c r="L451" s="841"/>
      <c r="M451" s="22"/>
      <c r="N451" s="22"/>
      <c r="O451" s="244"/>
      <c r="P451" s="244"/>
      <c r="Q451" s="244"/>
      <c r="R451" s="244"/>
      <c r="S451" s="244"/>
      <c r="T451" s="244"/>
      <c r="U451" s="244"/>
      <c r="V451" s="244"/>
      <c r="W451" s="244"/>
      <c r="X451" s="244"/>
      <c r="Y451" s="244"/>
    </row>
    <row r="452" spans="1:25" s="724" customFormat="1" ht="17.25" customHeight="1" thickBot="1">
      <c r="A452" s="104" t="s">
        <v>881</v>
      </c>
      <c r="B452" s="15" t="s">
        <v>160</v>
      </c>
      <c r="C452" s="887">
        <v>0</v>
      </c>
      <c r="D452" s="888"/>
      <c r="E452" s="883">
        <v>0</v>
      </c>
      <c r="F452" s="884"/>
      <c r="G452" s="883">
        <v>0</v>
      </c>
      <c r="H452" s="884"/>
      <c r="I452" s="883">
        <v>0</v>
      </c>
      <c r="J452" s="884"/>
      <c r="K452" s="883">
        <v>0</v>
      </c>
      <c r="L452" s="884"/>
      <c r="M452" s="22"/>
      <c r="N452" s="22"/>
      <c r="O452" s="244"/>
      <c r="P452" s="244"/>
      <c r="Q452" s="244"/>
      <c r="R452" s="244"/>
      <c r="S452" s="244"/>
      <c r="T452" s="244"/>
      <c r="U452" s="244"/>
      <c r="V452" s="244"/>
      <c r="W452" s="244"/>
      <c r="X452" s="244"/>
      <c r="Y452" s="244"/>
    </row>
    <row r="453" spans="1:25" s="724" customFormat="1" ht="17.25" customHeight="1" thickTop="1">
      <c r="A453" s="144" t="s">
        <v>760</v>
      </c>
      <c r="B453" s="72"/>
      <c r="C453" s="72"/>
      <c r="D453" s="72"/>
      <c r="E453" s="72"/>
      <c r="F453" s="72"/>
      <c r="G453" s="72"/>
      <c r="H453" s="72"/>
      <c r="I453" s="72"/>
      <c r="J453" s="72"/>
      <c r="K453" s="729"/>
      <c r="L453" s="729"/>
      <c r="M453" s="22"/>
      <c r="N453" s="22"/>
      <c r="O453" s="244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</row>
    <row r="454" spans="1:25" s="724" customFormat="1" ht="17.25" customHeight="1" thickBot="1">
      <c r="A454" s="144"/>
      <c r="B454" s="72"/>
      <c r="C454" s="71"/>
      <c r="D454" s="71"/>
      <c r="E454" s="71"/>
      <c r="F454" s="71"/>
      <c r="G454" s="71"/>
      <c r="H454" s="71"/>
      <c r="I454" s="71"/>
      <c r="J454" s="71"/>
      <c r="K454" s="729"/>
      <c r="L454" s="729"/>
      <c r="M454" s="22"/>
      <c r="N454" s="22"/>
      <c r="O454" s="244"/>
      <c r="P454" s="244"/>
      <c r="Q454" s="244"/>
      <c r="R454" s="244"/>
      <c r="S454" s="244"/>
      <c r="T454" s="244"/>
      <c r="U454" s="244"/>
      <c r="V454" s="244"/>
      <c r="W454" s="244"/>
      <c r="X454" s="244"/>
      <c r="Y454" s="244"/>
    </row>
    <row r="455" spans="1:25" s="724" customFormat="1" ht="23.25" customHeight="1" thickTop="1">
      <c r="A455" s="10" t="s">
        <v>74</v>
      </c>
      <c r="B455" s="108"/>
      <c r="C455" s="889" t="s">
        <v>665</v>
      </c>
      <c r="D455" s="890"/>
      <c r="E455" s="858" t="s">
        <v>716</v>
      </c>
      <c r="F455" s="859"/>
      <c r="G455" s="860" t="s">
        <v>710</v>
      </c>
      <c r="H455" s="861"/>
      <c r="I455" s="860" t="s">
        <v>759</v>
      </c>
      <c r="J455" s="862"/>
      <c r="K455" s="856"/>
      <c r="L455" s="857"/>
      <c r="M455" s="22"/>
      <c r="N455" s="22"/>
      <c r="O455" s="244"/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</row>
    <row r="456" spans="1:25" s="724" customFormat="1" ht="18.75" customHeight="1">
      <c r="A456" s="78" t="s">
        <v>597</v>
      </c>
      <c r="B456" s="34" t="s">
        <v>82</v>
      </c>
      <c r="C456" s="840">
        <f>CEILING(41*$Z$1,0.1)</f>
        <v>53.300000000000004</v>
      </c>
      <c r="D456" s="844"/>
      <c r="E456" s="840">
        <f>CEILING(80*$Z$1,0.1)</f>
        <v>104</v>
      </c>
      <c r="F456" s="844"/>
      <c r="G456" s="840">
        <f>CEILING(49*$Z$1,0.1)</f>
        <v>63.7</v>
      </c>
      <c r="H456" s="844"/>
      <c r="I456" s="840">
        <f>CEILING(60*$Z$1,0.1)</f>
        <v>78</v>
      </c>
      <c r="J456" s="844"/>
      <c r="K456" s="907"/>
      <c r="L456" s="908"/>
      <c r="M456" s="22"/>
      <c r="N456" s="22"/>
      <c r="O456" s="244"/>
      <c r="P456" s="244"/>
      <c r="Q456" s="244"/>
      <c r="R456" s="244"/>
      <c r="S456" s="244"/>
      <c r="T456" s="244"/>
      <c r="U456" s="244"/>
      <c r="V456" s="244"/>
      <c r="W456" s="244"/>
      <c r="X456" s="244"/>
      <c r="Y456" s="244"/>
    </row>
    <row r="457" spans="1:25" s="724" customFormat="1" ht="17.25" customHeight="1">
      <c r="A457" s="705"/>
      <c r="B457" s="34" t="s">
        <v>83</v>
      </c>
      <c r="C457" s="840">
        <f>_xlfn.CEILING.MATH((C456+17*$Z$1),0.1)</f>
        <v>75.4</v>
      </c>
      <c r="D457" s="841"/>
      <c r="E457" s="840">
        <f>_xlfn.CEILING.MATH((E456+17*$Z$1),0.1)</f>
        <v>126.10000000000001</v>
      </c>
      <c r="F457" s="841"/>
      <c r="G457" s="840">
        <f>_xlfn.CEILING.MATH((G456+17*$Z$1),0.1)</f>
        <v>85.80000000000001</v>
      </c>
      <c r="H457" s="841"/>
      <c r="I457" s="840">
        <f>_xlfn.CEILING.MATH((I456+17*$Z$1),0.1)</f>
        <v>100.10000000000001</v>
      </c>
      <c r="J457" s="841"/>
      <c r="K457" s="907"/>
      <c r="L457" s="908"/>
      <c r="M457" s="22"/>
      <c r="N457" s="22"/>
      <c r="O457" s="244"/>
      <c r="P457" s="244"/>
      <c r="Q457" s="244"/>
      <c r="R457" s="244"/>
      <c r="S457" s="244"/>
      <c r="T457" s="244"/>
      <c r="U457" s="244"/>
      <c r="V457" s="244"/>
      <c r="W457" s="244"/>
      <c r="X457" s="244"/>
      <c r="Y457" s="244"/>
    </row>
    <row r="458" spans="1:25" s="724" customFormat="1" ht="18.75" customHeight="1">
      <c r="A458" s="106" t="s">
        <v>135</v>
      </c>
      <c r="B458" s="34" t="s">
        <v>78</v>
      </c>
      <c r="C458" s="840">
        <f>CEILING((C456*0.85),0.1)</f>
        <v>45.400000000000006</v>
      </c>
      <c r="D458" s="841"/>
      <c r="E458" s="840">
        <f>CEILING((E456*0.85),0.1)</f>
        <v>88.4</v>
      </c>
      <c r="F458" s="841"/>
      <c r="G458" s="840">
        <f>CEILING((G456*0.85),0.1)</f>
        <v>54.2</v>
      </c>
      <c r="H458" s="841"/>
      <c r="I458" s="840">
        <f>CEILING((I456*0.85),0.1)</f>
        <v>66.3</v>
      </c>
      <c r="J458" s="841"/>
      <c r="K458" s="907"/>
      <c r="L458" s="908"/>
      <c r="M458" s="22"/>
      <c r="N458" s="22"/>
      <c r="O458" s="244"/>
      <c r="P458" s="244"/>
      <c r="Q458" s="244"/>
      <c r="R458" s="244"/>
      <c r="S458" s="244"/>
      <c r="T458" s="244"/>
      <c r="U458" s="244"/>
      <c r="V458" s="244"/>
      <c r="W458" s="244"/>
      <c r="X458" s="244"/>
      <c r="Y458" s="244"/>
    </row>
    <row r="459" spans="1:25" s="724" customFormat="1" ht="17.25" customHeight="1" thickBot="1">
      <c r="A459" s="104" t="s">
        <v>881</v>
      </c>
      <c r="B459" s="15" t="s">
        <v>160</v>
      </c>
      <c r="C459" s="887">
        <v>0</v>
      </c>
      <c r="D459" s="888"/>
      <c r="E459" s="883">
        <v>0</v>
      </c>
      <c r="F459" s="884"/>
      <c r="G459" s="883">
        <v>0</v>
      </c>
      <c r="H459" s="884"/>
      <c r="I459" s="883">
        <v>0</v>
      </c>
      <c r="J459" s="884"/>
      <c r="K459" s="842"/>
      <c r="L459" s="845"/>
      <c r="M459" s="22"/>
      <c r="N459" s="22"/>
      <c r="O459" s="244"/>
      <c r="P459" s="244"/>
      <c r="Q459" s="244"/>
      <c r="R459" s="244"/>
      <c r="S459" s="244"/>
      <c r="T459" s="244"/>
      <c r="U459" s="244"/>
      <c r="V459" s="244"/>
      <c r="W459" s="244"/>
      <c r="X459" s="244"/>
      <c r="Y459" s="244"/>
    </row>
    <row r="460" spans="1:25" s="724" customFormat="1" ht="17.25" customHeight="1" thickTop="1">
      <c r="A460" s="144" t="s">
        <v>760</v>
      </c>
      <c r="B460" s="72"/>
      <c r="C460" s="72"/>
      <c r="D460" s="72"/>
      <c r="E460" s="72"/>
      <c r="F460" s="72"/>
      <c r="G460" s="72"/>
      <c r="H460" s="72"/>
      <c r="I460" s="72"/>
      <c r="J460" s="72"/>
      <c r="K460" s="729"/>
      <c r="L460" s="729"/>
      <c r="M460" s="22"/>
      <c r="N460" s="22"/>
      <c r="O460" s="244"/>
      <c r="P460" s="244"/>
      <c r="Q460" s="244"/>
      <c r="R460" s="244"/>
      <c r="S460" s="244"/>
      <c r="T460" s="244"/>
      <c r="U460" s="244"/>
      <c r="V460" s="244"/>
      <c r="W460" s="244"/>
      <c r="X460" s="244"/>
      <c r="Y460" s="244"/>
    </row>
    <row r="461" spans="1:14" ht="16.5" customHeight="1" thickBot="1">
      <c r="A461" s="95"/>
      <c r="B461" s="62"/>
      <c r="C461" s="702"/>
      <c r="D461" s="702"/>
      <c r="E461" s="701"/>
      <c r="F461" s="701"/>
      <c r="G461" s="701"/>
      <c r="H461" s="701"/>
      <c r="I461" s="701"/>
      <c r="J461" s="701"/>
      <c r="K461" s="730"/>
      <c r="L461" s="730"/>
      <c r="M461" s="22"/>
      <c r="N461" s="22"/>
    </row>
    <row r="462" spans="1:14" ht="23.25" customHeight="1" thickBot="1" thickTop="1">
      <c r="A462" s="703" t="s">
        <v>74</v>
      </c>
      <c r="B462" s="704"/>
      <c r="C462" s="1043" t="s">
        <v>437</v>
      </c>
      <c r="D462" s="1044" t="s">
        <v>362</v>
      </c>
      <c r="E462" s="1065" t="s">
        <v>489</v>
      </c>
      <c r="F462" s="1066"/>
      <c r="G462" s="1065" t="s">
        <v>492</v>
      </c>
      <c r="H462" s="1066"/>
      <c r="I462" s="1065" t="s">
        <v>493</v>
      </c>
      <c r="J462" s="1107"/>
      <c r="K462" s="909" t="s">
        <v>668</v>
      </c>
      <c r="L462" s="910"/>
      <c r="M462" s="23"/>
      <c r="N462" s="22"/>
    </row>
    <row r="463" spans="1:25" ht="15.75" customHeight="1" thickTop="1">
      <c r="A463" s="653" t="s">
        <v>128</v>
      </c>
      <c r="B463" s="34" t="s">
        <v>65</v>
      </c>
      <c r="C463" s="840">
        <f>CEILING(40*$Z$1,0.1)</f>
        <v>52</v>
      </c>
      <c r="D463" s="844"/>
      <c r="E463" s="840">
        <f>CEILING(75*$Z$1,0.1)</f>
        <v>97.5</v>
      </c>
      <c r="F463" s="844"/>
      <c r="G463" s="840">
        <f>CEILING(53*$Z$1,0.1)</f>
        <v>68.9</v>
      </c>
      <c r="H463" s="844"/>
      <c r="I463" s="840">
        <f>CEILING(55*$Z$1,0.1)</f>
        <v>71.5</v>
      </c>
      <c r="J463" s="844"/>
      <c r="K463" s="840">
        <f>CEILING(40*$Z$1,0.1)</f>
        <v>52</v>
      </c>
      <c r="L463" s="844"/>
      <c r="M463" s="625"/>
      <c r="X463"/>
      <c r="Y463"/>
    </row>
    <row r="464" spans="1:25" ht="15.75" customHeight="1">
      <c r="A464" s="232" t="s">
        <v>64</v>
      </c>
      <c r="B464" s="34" t="s">
        <v>66</v>
      </c>
      <c r="C464" s="840">
        <f>_xlfn.CEILING.MATH((C463+14*$Z$1),0.1)</f>
        <v>70.2</v>
      </c>
      <c r="D464" s="841"/>
      <c r="E464" s="840">
        <f>_xlfn.CEILING.MATH((E463+14*$Z$1),0.1)</f>
        <v>115.7</v>
      </c>
      <c r="F464" s="841"/>
      <c r="G464" s="840">
        <f>_xlfn.CEILING.MATH((G463+14*$Z$1),0.1)</f>
        <v>87.10000000000001</v>
      </c>
      <c r="H464" s="841"/>
      <c r="I464" s="840">
        <f>_xlfn.CEILING.MATH((I463+14*$Z$1),0.1)</f>
        <v>89.7</v>
      </c>
      <c r="J464" s="841"/>
      <c r="K464" s="840">
        <f>_xlfn.CEILING.MATH((K463+14*$Z$1),0.1)</f>
        <v>70.2</v>
      </c>
      <c r="L464" s="841"/>
      <c r="M464" s="625"/>
      <c r="X464"/>
      <c r="Y464"/>
    </row>
    <row r="465" spans="1:25" ht="16.5" customHeight="1">
      <c r="A465" s="705"/>
      <c r="B465" s="34" t="s">
        <v>521</v>
      </c>
      <c r="C465" s="840">
        <f>CEILING((C463*0.85),0.1)</f>
        <v>44.2</v>
      </c>
      <c r="D465" s="841"/>
      <c r="E465" s="840">
        <f>CEILING((E463*0.85),0.1)</f>
        <v>82.9</v>
      </c>
      <c r="F465" s="841"/>
      <c r="G465" s="840">
        <f>CEILING((G463*0.85),0.1)</f>
        <v>58.6</v>
      </c>
      <c r="H465" s="841"/>
      <c r="I465" s="840">
        <f>CEILING((I463*0.85),0.1)</f>
        <v>60.800000000000004</v>
      </c>
      <c r="J465" s="841"/>
      <c r="K465" s="840">
        <f>CEILING((K463*0.85),0.1)</f>
        <v>44.2</v>
      </c>
      <c r="L465" s="841"/>
      <c r="M465" s="625"/>
      <c r="X465"/>
      <c r="Y465"/>
    </row>
    <row r="466" spans="1:25" ht="15" customHeight="1">
      <c r="A466" s="232"/>
      <c r="B466" s="34" t="s">
        <v>160</v>
      </c>
      <c r="C466" s="899">
        <v>0</v>
      </c>
      <c r="D466" s="900"/>
      <c r="E466" s="840">
        <v>0</v>
      </c>
      <c r="F466" s="841"/>
      <c r="G466" s="840">
        <v>0</v>
      </c>
      <c r="H466" s="841"/>
      <c r="I466" s="840">
        <v>0</v>
      </c>
      <c r="J466" s="844"/>
      <c r="K466" s="840">
        <v>0</v>
      </c>
      <c r="L466" s="844"/>
      <c r="M466" s="625"/>
      <c r="X466"/>
      <c r="Y466"/>
    </row>
    <row r="467" spans="1:25" ht="16.5" customHeight="1">
      <c r="A467" s="232"/>
      <c r="B467" s="34" t="s">
        <v>289</v>
      </c>
      <c r="C467" s="899">
        <f>CEILING(55*$Z$1,0.1)</f>
        <v>71.5</v>
      </c>
      <c r="D467" s="900"/>
      <c r="E467" s="899">
        <f>CEILING(81*$Z$1,0.1)</f>
        <v>105.30000000000001</v>
      </c>
      <c r="F467" s="900"/>
      <c r="G467" s="899">
        <f>CEILING(63*$Z$1,0.1)</f>
        <v>81.9</v>
      </c>
      <c r="H467" s="900"/>
      <c r="I467" s="899">
        <f>CEILING(65*$Z$1,0.1)</f>
        <v>84.5</v>
      </c>
      <c r="J467" s="900"/>
      <c r="K467" s="899">
        <f>CEILING(50*$Z$1,0.1)</f>
        <v>65</v>
      </c>
      <c r="L467" s="900"/>
      <c r="M467" s="625"/>
      <c r="X467"/>
      <c r="Y467"/>
    </row>
    <row r="468" spans="1:25" ht="18" customHeight="1" thickBot="1">
      <c r="A468" s="104" t="s">
        <v>940</v>
      </c>
      <c r="B468" s="34" t="s">
        <v>518</v>
      </c>
      <c r="C468" s="846">
        <f>_xlfn.CEILING.MATH((C467+17*$Z$1),0.1)</f>
        <v>93.60000000000001</v>
      </c>
      <c r="D468" s="848"/>
      <c r="E468" s="846">
        <f>_xlfn.CEILING.MATH((E467+17*$Z$1),0.1)</f>
        <v>127.4</v>
      </c>
      <c r="F468" s="848"/>
      <c r="G468" s="846">
        <f>_xlfn.CEILING.MATH((G467+17*$Z$1),0.1)</f>
        <v>104</v>
      </c>
      <c r="H468" s="848"/>
      <c r="I468" s="846">
        <f>_xlfn.CEILING.MATH((I467+17*$Z$1),0.1)</f>
        <v>106.60000000000001</v>
      </c>
      <c r="J468" s="848"/>
      <c r="K468" s="846">
        <f>_xlfn.CEILING.MATH((K467+17*$Z$1),0.1)</f>
        <v>87.10000000000001</v>
      </c>
      <c r="L468" s="848"/>
      <c r="M468" s="625"/>
      <c r="X468"/>
      <c r="Y468"/>
    </row>
    <row r="469" spans="1:25" ht="15.75" customHeight="1" thickTop="1">
      <c r="A469" s="78" t="s">
        <v>129</v>
      </c>
      <c r="B469" s="376" t="s">
        <v>82</v>
      </c>
      <c r="C469" s="840">
        <f>CEILING(40*$Z$1,0.1)</f>
        <v>52</v>
      </c>
      <c r="D469" s="844"/>
      <c r="E469" s="840">
        <f>CEILING(71*$Z$1,0.1)</f>
        <v>92.30000000000001</v>
      </c>
      <c r="F469" s="844"/>
      <c r="G469" s="840">
        <f>CEILING(53*$Z$1,0.1)</f>
        <v>68.9</v>
      </c>
      <c r="H469" s="844"/>
      <c r="I469" s="840">
        <f>CEILING(55*$Z$1,0.1)</f>
        <v>71.5</v>
      </c>
      <c r="J469" s="844"/>
      <c r="K469" s="840">
        <f>CEILING(40*$Z$1,0.1)</f>
        <v>52</v>
      </c>
      <c r="L469" s="844"/>
      <c r="M469" s="625"/>
      <c r="X469"/>
      <c r="Y469"/>
    </row>
    <row r="470" spans="1:14" ht="15">
      <c r="A470" s="86" t="s">
        <v>130</v>
      </c>
      <c r="B470" s="34" t="s">
        <v>83</v>
      </c>
      <c r="C470" s="840">
        <f>_xlfn.CEILING.MATH((C469+14*$Z$1),0.1)</f>
        <v>70.2</v>
      </c>
      <c r="D470" s="841"/>
      <c r="E470" s="840">
        <f>_xlfn.CEILING.MATH((E469+14*$Z$1),0.1)</f>
        <v>110.5</v>
      </c>
      <c r="F470" s="841"/>
      <c r="G470" s="840">
        <f>_xlfn.CEILING.MATH((G469+14*$Z$1),0.1)</f>
        <v>87.10000000000001</v>
      </c>
      <c r="H470" s="841"/>
      <c r="I470" s="840">
        <f>_xlfn.CEILING.MATH((I469+14*$Z$1),0.1)</f>
        <v>89.7</v>
      </c>
      <c r="J470" s="841"/>
      <c r="K470" s="840">
        <f>_xlfn.CEILING.MATH((K469+14*$Z$1),0.1)</f>
        <v>70.2</v>
      </c>
      <c r="L470" s="841"/>
      <c r="M470" s="4"/>
      <c r="N470" s="22"/>
    </row>
    <row r="471" spans="1:14" ht="15">
      <c r="A471" s="705"/>
      <c r="B471" s="34" t="s">
        <v>521</v>
      </c>
      <c r="C471" s="840">
        <f>CEILING((C469*0.85),0.1)</f>
        <v>44.2</v>
      </c>
      <c r="D471" s="841"/>
      <c r="E471" s="840">
        <f>CEILING((E469*0.85),0.1)</f>
        <v>78.5</v>
      </c>
      <c r="F471" s="841"/>
      <c r="G471" s="840">
        <f>CEILING((G469*0.85),0.1)</f>
        <v>58.6</v>
      </c>
      <c r="H471" s="841"/>
      <c r="I471" s="840">
        <f>CEILING((I469*0.85),0.1)</f>
        <v>60.800000000000004</v>
      </c>
      <c r="J471" s="841"/>
      <c r="K471" s="840">
        <f>CEILING((K469*0.85),0.1)</f>
        <v>44.2</v>
      </c>
      <c r="L471" s="841"/>
      <c r="M471" s="4"/>
      <c r="N471" s="22"/>
    </row>
    <row r="472" spans="1:14" ht="15.75" customHeight="1">
      <c r="A472" s="86"/>
      <c r="B472" s="34" t="s">
        <v>160</v>
      </c>
      <c r="C472" s="899">
        <v>0</v>
      </c>
      <c r="D472" s="900"/>
      <c r="E472" s="840">
        <v>0</v>
      </c>
      <c r="F472" s="841"/>
      <c r="G472" s="840">
        <v>0</v>
      </c>
      <c r="H472" s="841"/>
      <c r="I472" s="840">
        <v>0</v>
      </c>
      <c r="J472" s="844"/>
      <c r="K472" s="840">
        <v>0</v>
      </c>
      <c r="L472" s="844"/>
      <c r="M472" s="4"/>
      <c r="N472" s="22"/>
    </row>
    <row r="473" spans="1:14" ht="15">
      <c r="A473" s="86"/>
      <c r="B473" s="34" t="s">
        <v>289</v>
      </c>
      <c r="C473" s="899">
        <f>CEILING(55*$Z$1,0.1)</f>
        <v>71.5</v>
      </c>
      <c r="D473" s="900"/>
      <c r="E473" s="899">
        <f>CEILING(81*$Z$1,0.1)</f>
        <v>105.30000000000001</v>
      </c>
      <c r="F473" s="900"/>
      <c r="G473" s="899">
        <f>CEILING(63*$Z$1,0.1)</f>
        <v>81.9</v>
      </c>
      <c r="H473" s="900"/>
      <c r="I473" s="899">
        <f>CEILING(65*$Z$1,0.1)</f>
        <v>84.5</v>
      </c>
      <c r="J473" s="900"/>
      <c r="K473" s="899">
        <f>CEILING(50*$Z$1,0.1)</f>
        <v>65</v>
      </c>
      <c r="L473" s="900"/>
      <c r="M473" s="4"/>
      <c r="N473" s="22"/>
    </row>
    <row r="474" spans="1:14" ht="16.5" customHeight="1" thickBot="1">
      <c r="A474" s="104" t="s">
        <v>940</v>
      </c>
      <c r="B474" s="34" t="s">
        <v>518</v>
      </c>
      <c r="C474" s="846">
        <f>_xlfn.CEILING.MATH((C473+17*$Z$1),0.1)</f>
        <v>93.60000000000001</v>
      </c>
      <c r="D474" s="848"/>
      <c r="E474" s="846">
        <f>_xlfn.CEILING.MATH((E473+17*$Z$1),0.1)</f>
        <v>127.4</v>
      </c>
      <c r="F474" s="848"/>
      <c r="G474" s="846">
        <f>_xlfn.CEILING.MATH((G473+17*$Z$1),0.1)</f>
        <v>104</v>
      </c>
      <c r="H474" s="848"/>
      <c r="I474" s="846">
        <f>_xlfn.CEILING.MATH((I473+17*$Z$1),0.1)</f>
        <v>106.60000000000001</v>
      </c>
      <c r="J474" s="848"/>
      <c r="K474" s="846">
        <f>_xlfn.CEILING.MATH((K473+17*$Z$1),0.1)</f>
        <v>87.10000000000001</v>
      </c>
      <c r="L474" s="848"/>
      <c r="M474" s="23"/>
      <c r="N474" s="22"/>
    </row>
    <row r="475" spans="1:14" ht="17.25" customHeight="1" thickTop="1">
      <c r="A475" s="78" t="s">
        <v>71</v>
      </c>
      <c r="B475" s="376" t="s">
        <v>82</v>
      </c>
      <c r="C475" s="901">
        <f>CEILING(35*$Z$1,0.1)</f>
        <v>45.5</v>
      </c>
      <c r="D475" s="943"/>
      <c r="E475" s="901">
        <f>CEILING(66*$Z$1,0.1)</f>
        <v>85.80000000000001</v>
      </c>
      <c r="F475" s="943"/>
      <c r="G475" s="901">
        <f>CEILING(48*$Z$1,0.1)</f>
        <v>62.400000000000006</v>
      </c>
      <c r="H475" s="943"/>
      <c r="I475" s="901">
        <f>CEILING(50*$Z$1,0.1)</f>
        <v>65</v>
      </c>
      <c r="J475" s="943"/>
      <c r="K475" s="901">
        <f>CEILING(35*$Z$1,0.1)</f>
        <v>45.5</v>
      </c>
      <c r="L475" s="902"/>
      <c r="M475" s="654"/>
      <c r="N475" s="30"/>
    </row>
    <row r="476" spans="1:14" ht="18" customHeight="1">
      <c r="A476" s="86" t="s">
        <v>130</v>
      </c>
      <c r="B476" s="34" t="s">
        <v>83</v>
      </c>
      <c r="C476" s="840">
        <f>_xlfn.CEILING.MATH((C475+14*$Z$1),0.1)</f>
        <v>63.7</v>
      </c>
      <c r="D476" s="841"/>
      <c r="E476" s="840">
        <f>_xlfn.CEILING.MATH((E475+14*$Z$1),0.1)</f>
        <v>104</v>
      </c>
      <c r="F476" s="841"/>
      <c r="G476" s="840">
        <f>_xlfn.CEILING.MATH((G475+14*$Z$1),0.1)</f>
        <v>80.60000000000001</v>
      </c>
      <c r="H476" s="841"/>
      <c r="I476" s="840">
        <f>_xlfn.CEILING.MATH((I475+14*$Z$1),0.1)</f>
        <v>83.2</v>
      </c>
      <c r="J476" s="841"/>
      <c r="K476" s="840">
        <f>_xlfn.CEILING.MATH((K475+14*$Z$1),0.1)</f>
        <v>63.7</v>
      </c>
      <c r="L476" s="841"/>
      <c r="M476" s="23"/>
      <c r="N476" s="22"/>
    </row>
    <row r="477" spans="1:14" ht="18" customHeight="1">
      <c r="A477" s="705"/>
      <c r="B477" s="34" t="s">
        <v>78</v>
      </c>
      <c r="C477" s="840">
        <f>CEILING((C475*0.85),0.1)</f>
        <v>38.7</v>
      </c>
      <c r="D477" s="841"/>
      <c r="E477" s="840">
        <f>CEILING((E475*0.85),0.1)</f>
        <v>73</v>
      </c>
      <c r="F477" s="841"/>
      <c r="G477" s="840">
        <f>CEILING((G475*0.85),0.1)</f>
        <v>53.1</v>
      </c>
      <c r="H477" s="841"/>
      <c r="I477" s="840">
        <f>CEILING((I475*0.85),0.1)</f>
        <v>55.300000000000004</v>
      </c>
      <c r="J477" s="841"/>
      <c r="K477" s="840">
        <f>CEILING((K475*0.85),0.1)</f>
        <v>38.7</v>
      </c>
      <c r="L477" s="841"/>
      <c r="M477" s="23"/>
      <c r="N477" s="22"/>
    </row>
    <row r="478" spans="1:14" ht="18" customHeight="1" thickBot="1">
      <c r="A478" s="104" t="s">
        <v>939</v>
      </c>
      <c r="B478" s="15" t="s">
        <v>160</v>
      </c>
      <c r="C478" s="1067">
        <v>0</v>
      </c>
      <c r="D478" s="1068"/>
      <c r="E478" s="846">
        <v>0</v>
      </c>
      <c r="F478" s="848"/>
      <c r="G478" s="846">
        <v>0</v>
      </c>
      <c r="H478" s="848"/>
      <c r="I478" s="846">
        <v>0</v>
      </c>
      <c r="J478" s="847"/>
      <c r="K478" s="846">
        <v>0</v>
      </c>
      <c r="L478" s="848"/>
      <c r="M478" s="23"/>
      <c r="N478" s="22"/>
    </row>
    <row r="479" spans="1:25" s="724" customFormat="1" ht="18" customHeight="1" thickBot="1" thickTop="1">
      <c r="A479" s="104"/>
      <c r="B479" s="62"/>
      <c r="C479" s="774"/>
      <c r="D479" s="774"/>
      <c r="E479" s="730"/>
      <c r="F479" s="730"/>
      <c r="G479" s="730"/>
      <c r="H479" s="730"/>
      <c r="I479" s="775"/>
      <c r="J479" s="775"/>
      <c r="K479" s="775"/>
      <c r="L479" s="775"/>
      <c r="M479" s="22"/>
      <c r="N479" s="22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</row>
    <row r="480" spans="1:25" s="724" customFormat="1" ht="23.25" customHeight="1" thickTop="1">
      <c r="A480" s="93" t="s">
        <v>74</v>
      </c>
      <c r="B480" s="301"/>
      <c r="C480" s="870" t="s">
        <v>665</v>
      </c>
      <c r="D480" s="871"/>
      <c r="E480" s="852" t="s">
        <v>669</v>
      </c>
      <c r="F480" s="853"/>
      <c r="G480" s="854" t="s">
        <v>668</v>
      </c>
      <c r="H480" s="855"/>
      <c r="I480" s="737"/>
      <c r="J480" s="775"/>
      <c r="K480" s="775"/>
      <c r="L480" s="775"/>
      <c r="M480" s="22"/>
      <c r="N480" s="22"/>
      <c r="O480" s="244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</row>
    <row r="481" spans="1:25" s="724" customFormat="1" ht="18" customHeight="1">
      <c r="A481" s="324" t="s">
        <v>727</v>
      </c>
      <c r="B481" s="325" t="s">
        <v>320</v>
      </c>
      <c r="C481" s="840">
        <f>CEILING(60.5*$Z$1,0.1)</f>
        <v>78.7</v>
      </c>
      <c r="D481" s="844"/>
      <c r="E481" s="840">
        <f>CEILING(85*$Z$1,0.1)</f>
        <v>110.5</v>
      </c>
      <c r="F481" s="844"/>
      <c r="G481" s="840">
        <f>CEILING(60.5*$Z$1,0.1)</f>
        <v>78.7</v>
      </c>
      <c r="H481" s="844"/>
      <c r="I481" s="737"/>
      <c r="J481" s="775"/>
      <c r="K481" s="775"/>
      <c r="L481" s="775"/>
      <c r="M481" s="22"/>
      <c r="N481" s="22"/>
      <c r="O481" s="244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</row>
    <row r="482" spans="1:25" s="724" customFormat="1" ht="18" customHeight="1">
      <c r="A482" s="326" t="s">
        <v>91</v>
      </c>
      <c r="B482" s="201" t="s">
        <v>321</v>
      </c>
      <c r="C482" s="840">
        <f>CEILING(76*$Z$1,0.1)</f>
        <v>98.80000000000001</v>
      </c>
      <c r="D482" s="844"/>
      <c r="E482" s="840">
        <f>CEILING(100*$Z$1,0.1)</f>
        <v>130</v>
      </c>
      <c r="F482" s="844"/>
      <c r="G482" s="840">
        <f>CEILING(76*$Z$1,0.1)</f>
        <v>98.80000000000001</v>
      </c>
      <c r="H482" s="844"/>
      <c r="I482" s="737"/>
      <c r="J482" s="775"/>
      <c r="K482" s="775"/>
      <c r="L482" s="775"/>
      <c r="M482" s="22"/>
      <c r="N482" s="22"/>
      <c r="O482" s="244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</row>
    <row r="483" spans="1:25" s="724" customFormat="1" ht="18" customHeight="1">
      <c r="A483" s="327" t="s">
        <v>726</v>
      </c>
      <c r="B483" s="204" t="s">
        <v>80</v>
      </c>
      <c r="C483" s="840">
        <f>CEILING(65.5*$Z$1,0.1)</f>
        <v>85.2</v>
      </c>
      <c r="D483" s="841"/>
      <c r="E483" s="840">
        <f>CEILING(90*$Z$1,0.1)</f>
        <v>117</v>
      </c>
      <c r="F483" s="841"/>
      <c r="G483" s="840">
        <f>CEILING(65.5*$Z$1,0.1)</f>
        <v>85.2</v>
      </c>
      <c r="H483" s="841"/>
      <c r="I483" s="737"/>
      <c r="J483" s="775"/>
      <c r="K483" s="775"/>
      <c r="L483" s="775"/>
      <c r="M483" s="22"/>
      <c r="N483" s="22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</row>
    <row r="484" spans="1:25" s="724" customFormat="1" ht="18" customHeight="1">
      <c r="A484" s="326"/>
      <c r="B484" s="201" t="s">
        <v>275</v>
      </c>
      <c r="C484" s="840">
        <f>CEILING(81*$Z$1,0.1)</f>
        <v>105.30000000000001</v>
      </c>
      <c r="D484" s="844"/>
      <c r="E484" s="840">
        <f>CEILING(105*$Z$1,0.1)</f>
        <v>136.5</v>
      </c>
      <c r="F484" s="844"/>
      <c r="G484" s="840">
        <f>CEILING(81*$Z$1,0.1)</f>
        <v>105.30000000000001</v>
      </c>
      <c r="H484" s="844"/>
      <c r="I484" s="737"/>
      <c r="J484" s="775"/>
      <c r="K484" s="775"/>
      <c r="L484" s="775"/>
      <c r="M484" s="22"/>
      <c r="N484" s="22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</row>
    <row r="485" spans="1:25" s="724" customFormat="1" ht="18" customHeight="1">
      <c r="A485" s="326"/>
      <c r="B485" s="201" t="s">
        <v>322</v>
      </c>
      <c r="C485" s="840">
        <f>CEILING(68*$Z$1,0.1)</f>
        <v>88.4</v>
      </c>
      <c r="D485" s="841"/>
      <c r="E485" s="840">
        <f>CEILING(92.5*$Z$1,0.1)</f>
        <v>120.30000000000001</v>
      </c>
      <c r="F485" s="841"/>
      <c r="G485" s="840">
        <f>CEILING(68*$Z$1,0.1)</f>
        <v>88.4</v>
      </c>
      <c r="H485" s="841"/>
      <c r="I485" s="737"/>
      <c r="J485" s="775"/>
      <c r="K485" s="775"/>
      <c r="L485" s="775"/>
      <c r="M485" s="22"/>
      <c r="N485" s="22"/>
      <c r="O485" s="244"/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</row>
    <row r="486" spans="1:25" s="724" customFormat="1" ht="18" customHeight="1">
      <c r="A486" s="326"/>
      <c r="B486" s="201" t="s">
        <v>323</v>
      </c>
      <c r="C486" s="840">
        <f>CEILING(83*$Z$1,0.1)</f>
        <v>107.9</v>
      </c>
      <c r="D486" s="844"/>
      <c r="E486" s="840">
        <f>CEILING(108*$Z$1,0.1)</f>
        <v>140.4</v>
      </c>
      <c r="F486" s="844"/>
      <c r="G486" s="840">
        <f>CEILING(83*$Z$1,0.1)</f>
        <v>107.9</v>
      </c>
      <c r="H486" s="844"/>
      <c r="I486" s="737"/>
      <c r="J486" s="775"/>
      <c r="K486" s="775"/>
      <c r="L486" s="775"/>
      <c r="M486" s="22"/>
      <c r="N486" s="22"/>
      <c r="O486" s="244"/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</row>
    <row r="487" spans="1:25" s="724" customFormat="1" ht="18.75" customHeight="1">
      <c r="A487" s="326"/>
      <c r="B487" s="201" t="s">
        <v>730</v>
      </c>
      <c r="C487" s="840">
        <f>CEILING(68*$Z$1,0.1)</f>
        <v>88.4</v>
      </c>
      <c r="D487" s="841"/>
      <c r="E487" s="840">
        <f>CEILING(92.5*$Z$1,0.1)</f>
        <v>120.30000000000001</v>
      </c>
      <c r="F487" s="841"/>
      <c r="G487" s="840">
        <f>CEILING(68*$Z$1,0.1)</f>
        <v>88.4</v>
      </c>
      <c r="H487" s="841"/>
      <c r="I487" s="737"/>
      <c r="J487" s="775"/>
      <c r="K487" s="775"/>
      <c r="L487" s="775"/>
      <c r="M487" s="22"/>
      <c r="N487" s="22"/>
      <c r="O487" s="244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</row>
    <row r="488" spans="1:25" s="724" customFormat="1" ht="18" customHeight="1">
      <c r="A488" s="326"/>
      <c r="B488" s="201" t="s">
        <v>728</v>
      </c>
      <c r="C488" s="840">
        <f>CEILING(70.5*$Z$1,0.1)</f>
        <v>91.7</v>
      </c>
      <c r="D488" s="841"/>
      <c r="E488" s="840">
        <f>CEILING(95*$Z$1,0.1)</f>
        <v>123.5</v>
      </c>
      <c r="F488" s="841"/>
      <c r="G488" s="840">
        <f>CEILING(70.5*$Z$1,0.1)</f>
        <v>91.7</v>
      </c>
      <c r="H488" s="841"/>
      <c r="I488" s="737"/>
      <c r="J488" s="775"/>
      <c r="K488" s="775"/>
      <c r="L488" s="775"/>
      <c r="M488" s="22"/>
      <c r="N488" s="22"/>
      <c r="O488" s="244"/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</row>
    <row r="489" spans="1:25" s="724" customFormat="1" ht="18" customHeight="1">
      <c r="A489" s="326"/>
      <c r="B489" s="201" t="s">
        <v>729</v>
      </c>
      <c r="C489" s="840">
        <f>CEILING(86*$Z$1,0.1)</f>
        <v>111.80000000000001</v>
      </c>
      <c r="D489" s="841"/>
      <c r="E489" s="840">
        <f>CEILING(110*$Z$1,0.1)</f>
        <v>143</v>
      </c>
      <c r="F489" s="841"/>
      <c r="G489" s="840">
        <f>CEILING(86*$Z$1,0.1)</f>
        <v>111.80000000000001</v>
      </c>
      <c r="H489" s="841"/>
      <c r="I489" s="737"/>
      <c r="J489" s="775"/>
      <c r="K489" s="775"/>
      <c r="L489" s="775"/>
      <c r="M489" s="22"/>
      <c r="N489" s="22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</row>
    <row r="490" spans="1:25" s="724" customFormat="1" ht="18" customHeight="1" thickBot="1">
      <c r="A490" s="140" t="s">
        <v>938</v>
      </c>
      <c r="B490" s="208" t="s">
        <v>731</v>
      </c>
      <c r="C490" s="846">
        <f>CEILING(70.5*$Z$1,0.1)</f>
        <v>91.7</v>
      </c>
      <c r="D490" s="848"/>
      <c r="E490" s="846">
        <f>CEILING(95*$Z$1,0.1)</f>
        <v>123.5</v>
      </c>
      <c r="F490" s="848"/>
      <c r="G490" s="846">
        <f>CEILING(70.5*$Z$1,0.1)</f>
        <v>91.7</v>
      </c>
      <c r="H490" s="848"/>
      <c r="I490" s="737"/>
      <c r="J490" s="775"/>
      <c r="K490" s="775"/>
      <c r="L490" s="775"/>
      <c r="M490" s="22"/>
      <c r="N490" s="22"/>
      <c r="O490" s="244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</row>
    <row r="491" spans="1:25" s="724" customFormat="1" ht="18" customHeight="1" thickTop="1">
      <c r="A491" s="834" t="s">
        <v>732</v>
      </c>
      <c r="B491" s="834"/>
      <c r="C491" s="834"/>
      <c r="D491" s="834"/>
      <c r="E491" s="834"/>
      <c r="F491" s="834"/>
      <c r="G491" s="834"/>
      <c r="H491" s="834"/>
      <c r="I491" s="775"/>
      <c r="J491" s="775"/>
      <c r="K491" s="775"/>
      <c r="L491" s="775"/>
      <c r="M491" s="22"/>
      <c r="N491" s="22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</row>
    <row r="492" spans="1:25" s="724" customFormat="1" ht="18" customHeight="1" thickBot="1">
      <c r="A492" s="104"/>
      <c r="B492" s="62"/>
      <c r="C492" s="774"/>
      <c r="D492" s="774"/>
      <c r="E492" s="730"/>
      <c r="F492" s="730"/>
      <c r="G492" s="730"/>
      <c r="H492" s="730"/>
      <c r="I492" s="775"/>
      <c r="J492" s="775"/>
      <c r="K492" s="775"/>
      <c r="L492" s="775"/>
      <c r="M492" s="22"/>
      <c r="N492" s="22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</row>
    <row r="493" spans="1:25" s="724" customFormat="1" ht="23.25" customHeight="1" thickTop="1">
      <c r="A493" s="79" t="s">
        <v>74</v>
      </c>
      <c r="B493" s="80"/>
      <c r="C493" s="870" t="s">
        <v>665</v>
      </c>
      <c r="D493" s="871"/>
      <c r="E493" s="852" t="s">
        <v>669</v>
      </c>
      <c r="F493" s="853"/>
      <c r="G493" s="854" t="s">
        <v>668</v>
      </c>
      <c r="H493" s="855"/>
      <c r="I493" s="856"/>
      <c r="J493" s="857"/>
      <c r="K493" s="128"/>
      <c r="L493" s="502"/>
      <c r="M493" s="76"/>
      <c r="N493" s="76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</row>
    <row r="494" spans="1:25" s="724" customFormat="1" ht="16.5" customHeight="1">
      <c r="A494" s="103" t="s">
        <v>592</v>
      </c>
      <c r="B494" s="14" t="s">
        <v>512</v>
      </c>
      <c r="C494" s="840">
        <f>CEILING(55*$Z$1,0.1)</f>
        <v>71.5</v>
      </c>
      <c r="D494" s="844"/>
      <c r="E494" s="840">
        <f>CEILING(63*$Z$1,0.1)</f>
        <v>81.9</v>
      </c>
      <c r="F494" s="844"/>
      <c r="G494" s="840">
        <f>CEILING(55*$Z$1,0.1)</f>
        <v>71.5</v>
      </c>
      <c r="H494" s="844"/>
      <c r="I494" s="842"/>
      <c r="J494" s="845"/>
      <c r="K494" s="128"/>
      <c r="L494" s="502"/>
      <c r="M494" s="76"/>
      <c r="N494" s="76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</row>
    <row r="495" spans="1:25" s="724" customFormat="1" ht="18" customHeight="1">
      <c r="A495" s="33" t="s">
        <v>91</v>
      </c>
      <c r="B495" s="14" t="s">
        <v>513</v>
      </c>
      <c r="C495" s="840">
        <f>CEILING(75*$Z$1,0.1)</f>
        <v>97.5</v>
      </c>
      <c r="D495" s="844"/>
      <c r="E495" s="840">
        <f>CEILING(83*$Z$1,0.1)</f>
        <v>107.9</v>
      </c>
      <c r="F495" s="844"/>
      <c r="G495" s="840">
        <f>CEILING(75*$Z$1,0.1)</f>
        <v>97.5</v>
      </c>
      <c r="H495" s="844"/>
      <c r="I495" s="842"/>
      <c r="J495" s="845"/>
      <c r="K495" s="128"/>
      <c r="L495" s="502"/>
      <c r="M495" s="76"/>
      <c r="N495" s="76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</row>
    <row r="496" spans="1:25" s="724" customFormat="1" ht="18" customHeight="1">
      <c r="A496" s="709"/>
      <c r="B496" s="167" t="s">
        <v>734</v>
      </c>
      <c r="C496" s="842">
        <v>0</v>
      </c>
      <c r="D496" s="843"/>
      <c r="E496" s="842">
        <v>0</v>
      </c>
      <c r="F496" s="843"/>
      <c r="G496" s="842">
        <v>0</v>
      </c>
      <c r="H496" s="843"/>
      <c r="I496" s="842"/>
      <c r="J496" s="845"/>
      <c r="K496" s="128"/>
      <c r="L496" s="502"/>
      <c r="M496" s="76"/>
      <c r="N496" s="76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</row>
    <row r="497" spans="1:25" s="724" customFormat="1" ht="18" customHeight="1">
      <c r="A497" s="33"/>
      <c r="B497" s="167" t="s">
        <v>515</v>
      </c>
      <c r="C497" s="840">
        <f>CEILING(62.5*$Z$1,0.1)</f>
        <v>81.30000000000001</v>
      </c>
      <c r="D497" s="841"/>
      <c r="E497" s="840">
        <f>CEILING(70.5*$Z$1,0.1)</f>
        <v>91.7</v>
      </c>
      <c r="F497" s="841"/>
      <c r="G497" s="840">
        <f>CEILING(62.5*$Z$1,0.1)</f>
        <v>81.30000000000001</v>
      </c>
      <c r="H497" s="841"/>
      <c r="I497" s="842"/>
      <c r="J497" s="845"/>
      <c r="K497" s="128"/>
      <c r="L497" s="502"/>
      <c r="M497" s="76"/>
      <c r="N497" s="76"/>
      <c r="O497" s="244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</row>
    <row r="498" spans="1:25" s="724" customFormat="1" ht="18" customHeight="1">
      <c r="A498" s="33"/>
      <c r="B498" s="14" t="s">
        <v>516</v>
      </c>
      <c r="C498" s="840">
        <f>CEILING(83*$Z$1,0.1)</f>
        <v>107.9</v>
      </c>
      <c r="D498" s="844"/>
      <c r="E498" s="840">
        <f>CEILING(91*$Z$1,0.1)</f>
        <v>118.30000000000001</v>
      </c>
      <c r="F498" s="844"/>
      <c r="G498" s="840">
        <f>CEILING(83*$Z$1,0.1)</f>
        <v>107.9</v>
      </c>
      <c r="H498" s="844"/>
      <c r="I498" s="842"/>
      <c r="J498" s="845"/>
      <c r="K498" s="128"/>
      <c r="L498" s="502"/>
      <c r="M498" s="76"/>
      <c r="N498" s="76"/>
      <c r="O498" s="244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</row>
    <row r="499" spans="1:25" s="724" customFormat="1" ht="18" customHeight="1">
      <c r="A499" s="33"/>
      <c r="B499" s="82" t="s">
        <v>5</v>
      </c>
      <c r="C499" s="840">
        <f>CEILING(70*$Z$1,0.1)</f>
        <v>91</v>
      </c>
      <c r="D499" s="841"/>
      <c r="E499" s="840">
        <f>CEILING(78*$Z$1,0.1)</f>
        <v>101.4</v>
      </c>
      <c r="F499" s="841"/>
      <c r="G499" s="840">
        <f>CEILING(70*$Z$1,0.1)</f>
        <v>91</v>
      </c>
      <c r="H499" s="841"/>
      <c r="I499" s="842"/>
      <c r="J499" s="845"/>
      <c r="K499" s="128"/>
      <c r="L499" s="502"/>
      <c r="M499" s="76"/>
      <c r="N499" s="76"/>
      <c r="O499" s="244"/>
      <c r="P499" s="244"/>
      <c r="Q499" s="244"/>
      <c r="R499" s="244"/>
      <c r="S499" s="244"/>
      <c r="T499" s="244"/>
      <c r="U499" s="244"/>
      <c r="V499" s="244"/>
      <c r="W499" s="244"/>
      <c r="X499" s="244"/>
      <c r="Y499" s="244"/>
    </row>
    <row r="500" spans="1:25" s="724" customFormat="1" ht="18" customHeight="1" thickBot="1">
      <c r="A500" s="140" t="s">
        <v>932</v>
      </c>
      <c r="B500" s="15" t="s">
        <v>3</v>
      </c>
      <c r="C500" s="846">
        <f>CEILING(90*$Z$1,0.1)</f>
        <v>117</v>
      </c>
      <c r="D500" s="847"/>
      <c r="E500" s="846">
        <f>CEILING(98*$Z$1,0.1)</f>
        <v>127.4</v>
      </c>
      <c r="F500" s="847"/>
      <c r="G500" s="846">
        <f>CEILING(90*$Z$1,0.1)</f>
        <v>117</v>
      </c>
      <c r="H500" s="847"/>
      <c r="I500" s="842"/>
      <c r="J500" s="845"/>
      <c r="K500" s="128"/>
      <c r="L500" s="502"/>
      <c r="M500" s="76"/>
      <c r="N500" s="76"/>
      <c r="O500" s="244"/>
      <c r="P500" s="244"/>
      <c r="Q500" s="244"/>
      <c r="R500" s="244"/>
      <c r="S500" s="244"/>
      <c r="T500" s="244"/>
      <c r="U500" s="244"/>
      <c r="V500" s="244"/>
      <c r="W500" s="244"/>
      <c r="X500" s="244"/>
      <c r="Y500" s="244"/>
    </row>
    <row r="501" spans="1:25" s="724" customFormat="1" ht="18" customHeight="1" thickTop="1">
      <c r="A501" s="834" t="s">
        <v>732</v>
      </c>
      <c r="B501" s="834"/>
      <c r="C501" s="834"/>
      <c r="D501" s="834"/>
      <c r="E501" s="834"/>
      <c r="F501" s="834"/>
      <c r="G501" s="834"/>
      <c r="H501" s="834"/>
      <c r="I501" s="729"/>
      <c r="J501" s="729"/>
      <c r="K501" s="128"/>
      <c r="L501" s="502"/>
      <c r="M501" s="76"/>
      <c r="N501" s="76"/>
      <c r="O501" s="244"/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</row>
    <row r="502" spans="1:25" s="724" customFormat="1" ht="18" customHeight="1" thickBot="1">
      <c r="A502" s="104"/>
      <c r="B502" s="62"/>
      <c r="C502" s="774"/>
      <c r="D502" s="774"/>
      <c r="E502" s="730"/>
      <c r="F502" s="730"/>
      <c r="G502" s="730"/>
      <c r="H502" s="730"/>
      <c r="I502" s="775"/>
      <c r="J502" s="775"/>
      <c r="K502" s="775"/>
      <c r="L502" s="775"/>
      <c r="M502" s="22"/>
      <c r="N502" s="22"/>
      <c r="O502" s="244"/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</row>
    <row r="503" spans="1:25" s="724" customFormat="1" ht="22.5" customHeight="1" thickTop="1">
      <c r="A503" s="79" t="s">
        <v>74</v>
      </c>
      <c r="B503" s="77"/>
      <c r="C503" s="870" t="s">
        <v>665</v>
      </c>
      <c r="D503" s="871"/>
      <c r="E503" s="852" t="s">
        <v>669</v>
      </c>
      <c r="F503" s="853"/>
      <c r="G503" s="854" t="s">
        <v>668</v>
      </c>
      <c r="H503" s="855"/>
      <c r="I503" s="856"/>
      <c r="J503" s="857"/>
      <c r="K503" s="440"/>
      <c r="L503" s="440"/>
      <c r="M503" s="18"/>
      <c r="N503" s="226"/>
      <c r="O503" s="244"/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</row>
    <row r="504" spans="1:25" s="724" customFormat="1" ht="16.5" customHeight="1">
      <c r="A504" s="78" t="s">
        <v>133</v>
      </c>
      <c r="B504" s="380" t="s">
        <v>399</v>
      </c>
      <c r="C504" s="840">
        <f>CEILING(50*$Z$1,0.1)</f>
        <v>65</v>
      </c>
      <c r="D504" s="844"/>
      <c r="E504" s="840">
        <f>CEILING(65*$Z$1,0.1)</f>
        <v>84.5</v>
      </c>
      <c r="F504" s="844"/>
      <c r="G504" s="840">
        <f>CEILING(50*$Z$1,0.1)</f>
        <v>65</v>
      </c>
      <c r="H504" s="844"/>
      <c r="I504" s="842"/>
      <c r="J504" s="845"/>
      <c r="K504" s="112"/>
      <c r="L504" s="112"/>
      <c r="M504" s="18"/>
      <c r="N504" s="226"/>
      <c r="O504" s="244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</row>
    <row r="505" spans="1:25" s="724" customFormat="1" ht="17.25" customHeight="1">
      <c r="A505" s="40" t="s">
        <v>91</v>
      </c>
      <c r="B505" s="42" t="s">
        <v>400</v>
      </c>
      <c r="C505" s="840">
        <f>CEILING(65*$Z$1,0.1)</f>
        <v>84.5</v>
      </c>
      <c r="D505" s="844"/>
      <c r="E505" s="840">
        <f>CEILING(80*$Z$1,0.1)</f>
        <v>104</v>
      </c>
      <c r="F505" s="844"/>
      <c r="G505" s="840">
        <f>CEILING(65*$Z$1,0.1)</f>
        <v>84.5</v>
      </c>
      <c r="H505" s="844"/>
      <c r="I505" s="842"/>
      <c r="J505" s="845"/>
      <c r="K505" s="851"/>
      <c r="L505" s="91"/>
      <c r="M505" s="18"/>
      <c r="N505" s="226"/>
      <c r="O505" s="244"/>
      <c r="P505" s="244"/>
      <c r="Q505" s="244"/>
      <c r="R505" s="244"/>
      <c r="S505" s="244"/>
      <c r="T505" s="244"/>
      <c r="U505" s="244"/>
      <c r="V505" s="244"/>
      <c r="W505" s="244"/>
      <c r="X505" s="244"/>
      <c r="Y505" s="244"/>
    </row>
    <row r="506" spans="1:25" s="724" customFormat="1" ht="18.75" customHeight="1">
      <c r="A506" s="260"/>
      <c r="B506" s="14" t="s">
        <v>401</v>
      </c>
      <c r="C506" s="840">
        <f>CEILING(42*$Z$1,0.1)</f>
        <v>54.6</v>
      </c>
      <c r="D506" s="844"/>
      <c r="E506" s="840">
        <f>CEILING(55*$Z$1,0.1)</f>
        <v>71.5</v>
      </c>
      <c r="F506" s="844"/>
      <c r="G506" s="840">
        <f>CEILING(42*$Z$1,0.1)</f>
        <v>54.6</v>
      </c>
      <c r="H506" s="844"/>
      <c r="I506" s="842"/>
      <c r="J506" s="845"/>
      <c r="K506" s="851"/>
      <c r="L506" s="502"/>
      <c r="M506" s="30"/>
      <c r="N506" s="30"/>
      <c r="O506" s="244"/>
      <c r="P506" s="244"/>
      <c r="Q506" s="244"/>
      <c r="R506" s="244"/>
      <c r="S506" s="244"/>
      <c r="T506" s="244"/>
      <c r="U506" s="244"/>
      <c r="V506" s="244"/>
      <c r="W506" s="244"/>
      <c r="X506" s="244"/>
      <c r="Y506" s="244"/>
    </row>
    <row r="507" spans="1:25" s="724" customFormat="1" ht="17.25" customHeight="1">
      <c r="A507" s="260"/>
      <c r="B507" s="358" t="s">
        <v>132</v>
      </c>
      <c r="C507" s="849">
        <v>0</v>
      </c>
      <c r="D507" s="850"/>
      <c r="E507" s="849">
        <v>0</v>
      </c>
      <c r="F507" s="850"/>
      <c r="G507" s="849">
        <v>0</v>
      </c>
      <c r="H507" s="850"/>
      <c r="I507" s="842"/>
      <c r="J507" s="845"/>
      <c r="K507" s="851"/>
      <c r="L507" s="502"/>
      <c r="M507" s="22"/>
      <c r="N507" s="22"/>
      <c r="O507" s="244"/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</row>
    <row r="508" spans="1:25" s="724" customFormat="1" ht="17.25" customHeight="1">
      <c r="A508" s="260"/>
      <c r="B508" s="380" t="s">
        <v>402</v>
      </c>
      <c r="C508" s="837">
        <f>CEILING(55*$Z$1,0.1)</f>
        <v>71.5</v>
      </c>
      <c r="D508" s="838"/>
      <c r="E508" s="837">
        <f>CEILING(70*$Z$1,0.1)</f>
        <v>91</v>
      </c>
      <c r="F508" s="838"/>
      <c r="G508" s="837">
        <f>CEILING(55*$Z$1,0.1)</f>
        <v>71.5</v>
      </c>
      <c r="H508" s="839"/>
      <c r="I508" s="842"/>
      <c r="J508" s="845"/>
      <c r="K508" s="851"/>
      <c r="L508" s="502"/>
      <c r="M508" s="22"/>
      <c r="N508" s="22"/>
      <c r="O508" s="244"/>
      <c r="P508" s="244"/>
      <c r="Q508" s="244"/>
      <c r="R508" s="244"/>
      <c r="S508" s="244"/>
      <c r="T508" s="244"/>
      <c r="U508" s="244"/>
      <c r="V508" s="244"/>
      <c r="W508" s="244"/>
      <c r="X508" s="244"/>
      <c r="Y508" s="244"/>
    </row>
    <row r="509" spans="1:25" s="724" customFormat="1" ht="16.5" customHeight="1">
      <c r="A509" s="260"/>
      <c r="B509" s="42" t="s">
        <v>403</v>
      </c>
      <c r="C509" s="840">
        <f>CEILING(70*$Z$1,0.1)</f>
        <v>91</v>
      </c>
      <c r="D509" s="844"/>
      <c r="E509" s="840">
        <f>CEILING(85*$Z$1,0.1)</f>
        <v>110.5</v>
      </c>
      <c r="F509" s="844"/>
      <c r="G509" s="840">
        <f>CEILING(70*$Z$1,0.1)</f>
        <v>91</v>
      </c>
      <c r="H509" s="841"/>
      <c r="I509" s="842"/>
      <c r="J509" s="845"/>
      <c r="K509" s="851"/>
      <c r="L509" s="502"/>
      <c r="M509" s="18"/>
      <c r="N509" s="226"/>
      <c r="O509" s="244"/>
      <c r="P509" s="244"/>
      <c r="Q509" s="244"/>
      <c r="R509" s="244"/>
      <c r="S509" s="244"/>
      <c r="T509" s="244"/>
      <c r="U509" s="244"/>
      <c r="V509" s="244"/>
      <c r="W509" s="244"/>
      <c r="X509" s="244"/>
      <c r="Y509" s="244"/>
    </row>
    <row r="510" spans="1:25" s="724" customFormat="1" ht="16.5" customHeight="1" thickBot="1">
      <c r="A510" s="104" t="s">
        <v>937</v>
      </c>
      <c r="B510" s="15" t="s">
        <v>404</v>
      </c>
      <c r="C510" s="846">
        <f>CEILING(46*$Z$1,0.1)</f>
        <v>59.800000000000004</v>
      </c>
      <c r="D510" s="847"/>
      <c r="E510" s="846">
        <f>CEILING(59*$Z$1,0.1)</f>
        <v>76.7</v>
      </c>
      <c r="F510" s="847"/>
      <c r="G510" s="846">
        <f>CEILING(46*$Z$1,0.1)</f>
        <v>59.800000000000004</v>
      </c>
      <c r="H510" s="848"/>
      <c r="I510" s="842"/>
      <c r="J510" s="845"/>
      <c r="K510" s="851"/>
      <c r="L510" s="502"/>
      <c r="M510" s="18"/>
      <c r="N510" s="226"/>
      <c r="O510" s="244"/>
      <c r="P510" s="244"/>
      <c r="Q510" s="244"/>
      <c r="R510" s="244"/>
      <c r="S510" s="244"/>
      <c r="T510" s="244"/>
      <c r="U510" s="244"/>
      <c r="V510" s="244"/>
      <c r="W510" s="244"/>
      <c r="X510" s="244"/>
      <c r="Y510" s="244"/>
    </row>
    <row r="511" spans="1:25" s="724" customFormat="1" ht="18" customHeight="1" thickTop="1">
      <c r="A511" s="834" t="s">
        <v>733</v>
      </c>
      <c r="B511" s="834"/>
      <c r="C511" s="834"/>
      <c r="D511" s="834"/>
      <c r="E511" s="834"/>
      <c r="F511" s="834"/>
      <c r="G511" s="834"/>
      <c r="H511" s="834"/>
      <c r="I511" s="729"/>
      <c r="J511" s="729"/>
      <c r="K511" s="128"/>
      <c r="L511" s="502"/>
      <c r="M511" s="76"/>
      <c r="N511" s="76"/>
      <c r="O511" s="244"/>
      <c r="P511" s="244"/>
      <c r="Q511" s="244"/>
      <c r="R511" s="244"/>
      <c r="S511" s="244"/>
      <c r="T511" s="244"/>
      <c r="U511" s="244"/>
      <c r="V511" s="244"/>
      <c r="W511" s="244"/>
      <c r="X511" s="244"/>
      <c r="Y511" s="244"/>
    </row>
    <row r="512" spans="1:14" ht="18.75" customHeight="1" thickBot="1">
      <c r="A512" s="104"/>
      <c r="B512" s="62"/>
      <c r="C512" s="913"/>
      <c r="D512" s="913"/>
      <c r="E512" s="891"/>
      <c r="F512" s="891"/>
      <c r="G512" s="891"/>
      <c r="H512" s="891"/>
      <c r="I512" s="845"/>
      <c r="J512" s="845"/>
      <c r="K512" s="128"/>
      <c r="L512" s="128"/>
      <c r="M512" s="18"/>
      <c r="N512" s="226"/>
    </row>
    <row r="513" spans="1:14" ht="22.5" customHeight="1" thickTop="1">
      <c r="A513" s="79" t="s">
        <v>74</v>
      </c>
      <c r="B513" s="80"/>
      <c r="C513" s="870" t="s">
        <v>665</v>
      </c>
      <c r="D513" s="871"/>
      <c r="E513" s="852" t="s">
        <v>669</v>
      </c>
      <c r="F513" s="853"/>
      <c r="G513" s="854" t="s">
        <v>668</v>
      </c>
      <c r="H513" s="855"/>
      <c r="I513" s="856"/>
      <c r="J513" s="857"/>
      <c r="K513" s="91"/>
      <c r="L513" s="91"/>
      <c r="M513" s="18"/>
      <c r="N513" s="226"/>
    </row>
    <row r="514" spans="1:14" ht="16.5" customHeight="1">
      <c r="A514" s="103" t="s">
        <v>131</v>
      </c>
      <c r="B514" s="34" t="s">
        <v>82</v>
      </c>
      <c r="C514" s="840">
        <f>CEILING(48*$Z$1,0.1)</f>
        <v>62.400000000000006</v>
      </c>
      <c r="D514" s="844"/>
      <c r="E514" s="840">
        <f>CEILING(60*$Z$1,0.1)</f>
        <v>78</v>
      </c>
      <c r="F514" s="844"/>
      <c r="G514" s="840">
        <f>CEILING(48*$Z$1,0.1)</f>
        <v>62.400000000000006</v>
      </c>
      <c r="H514" s="844"/>
      <c r="I514" s="842"/>
      <c r="J514" s="845"/>
      <c r="K514" s="91"/>
      <c r="L514" s="91"/>
      <c r="M514" s="18"/>
      <c r="N514" s="226"/>
    </row>
    <row r="515" spans="1:14" ht="18" customHeight="1">
      <c r="A515" s="33" t="s">
        <v>91</v>
      </c>
      <c r="B515" s="82" t="s">
        <v>83</v>
      </c>
      <c r="C515" s="840">
        <f>CEILING(63*$Z$1,0.1)</f>
        <v>81.9</v>
      </c>
      <c r="D515" s="844"/>
      <c r="E515" s="840">
        <f>CEILING(75*$Z$1,0.1)</f>
        <v>97.5</v>
      </c>
      <c r="F515" s="844"/>
      <c r="G515" s="840">
        <f>CEILING(63*$Z$1,0.1)</f>
        <v>81.9</v>
      </c>
      <c r="H515" s="844"/>
      <c r="I515" s="842"/>
      <c r="J515" s="845"/>
      <c r="K515" s="91"/>
      <c r="L515" s="91"/>
      <c r="M515" s="18"/>
      <c r="N515" s="226"/>
    </row>
    <row r="516" spans="1:14" ht="18" customHeight="1">
      <c r="A516" s="33"/>
      <c r="B516" s="82" t="s">
        <v>344</v>
      </c>
      <c r="C516" s="840">
        <f>CEILING(51*$Z$1,0.1)</f>
        <v>66.3</v>
      </c>
      <c r="D516" s="841"/>
      <c r="E516" s="840">
        <f>CEILING(63*$Z$1,0.1)</f>
        <v>81.9</v>
      </c>
      <c r="F516" s="841"/>
      <c r="G516" s="840">
        <f>CEILING(51*$Z$1,0.1)</f>
        <v>66.3</v>
      </c>
      <c r="H516" s="841"/>
      <c r="I516" s="842"/>
      <c r="J516" s="845"/>
      <c r="K516" s="91"/>
      <c r="L516" s="91"/>
      <c r="M516" s="18"/>
      <c r="N516" s="226"/>
    </row>
    <row r="517" spans="1:14" ht="15.75" customHeight="1">
      <c r="A517" s="33"/>
      <c r="B517" s="14" t="s">
        <v>345</v>
      </c>
      <c r="C517" s="840">
        <f>CEILING(66*$Z$1,0.1)</f>
        <v>85.80000000000001</v>
      </c>
      <c r="D517" s="844"/>
      <c r="E517" s="840">
        <f>CEILING(78*$Z$1,0.1)</f>
        <v>101.4</v>
      </c>
      <c r="F517" s="844"/>
      <c r="G517" s="840">
        <f>CEILING(66*$Z$1,0.1)</f>
        <v>85.80000000000001</v>
      </c>
      <c r="H517" s="844"/>
      <c r="I517" s="842"/>
      <c r="J517" s="845"/>
      <c r="K517" s="531"/>
      <c r="L517" s="531"/>
      <c r="M517" s="18"/>
      <c r="N517" s="226"/>
    </row>
    <row r="518" spans="1:14" ht="18" customHeight="1" thickBot="1">
      <c r="A518" s="140" t="s">
        <v>880</v>
      </c>
      <c r="B518" s="15" t="s">
        <v>132</v>
      </c>
      <c r="C518" s="883">
        <v>0</v>
      </c>
      <c r="D518" s="884"/>
      <c r="E518" s="883">
        <v>0</v>
      </c>
      <c r="F518" s="884"/>
      <c r="G518" s="883">
        <v>0</v>
      </c>
      <c r="H518" s="884"/>
      <c r="I518" s="842"/>
      <c r="J518" s="845"/>
      <c r="K518" s="440"/>
      <c r="L518" s="440"/>
      <c r="M518" s="18"/>
      <c r="N518" s="226"/>
    </row>
    <row r="519" spans="1:14" ht="15.75" customHeight="1" thickTop="1">
      <c r="A519" s="834" t="s">
        <v>733</v>
      </c>
      <c r="B519" s="834"/>
      <c r="C519" s="834"/>
      <c r="D519" s="834"/>
      <c r="E519" s="834"/>
      <c r="F519" s="834"/>
      <c r="G519" s="834"/>
      <c r="H519" s="834"/>
      <c r="I519" s="624"/>
      <c r="J519" s="624"/>
      <c r="K519" s="440"/>
      <c r="L519" s="440"/>
      <c r="M519" s="18"/>
      <c r="N519" s="226"/>
    </row>
    <row r="520" spans="1:25" s="724" customFormat="1" ht="19.5" customHeight="1" thickBot="1">
      <c r="A520" s="699"/>
      <c r="B520" s="62"/>
      <c r="C520" s="723"/>
      <c r="D520" s="2"/>
      <c r="E520" s="2"/>
      <c r="F520" s="2"/>
      <c r="G520" s="2"/>
      <c r="H520" s="2"/>
      <c r="I520" s="723"/>
      <c r="J520" s="723"/>
      <c r="K520" s="128"/>
      <c r="L520" s="502"/>
      <c r="M520" s="76"/>
      <c r="N520" s="76"/>
      <c r="O520" s="244"/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</row>
    <row r="521" spans="1:14" ht="23.25" customHeight="1" thickTop="1">
      <c r="A521" s="93" t="s">
        <v>74</v>
      </c>
      <c r="B521" s="96"/>
      <c r="C521" s="889" t="s">
        <v>665</v>
      </c>
      <c r="D521" s="890"/>
      <c r="E521" s="858" t="s">
        <v>716</v>
      </c>
      <c r="F521" s="859"/>
      <c r="G521" s="860" t="s">
        <v>721</v>
      </c>
      <c r="H521" s="861"/>
      <c r="I521" s="860" t="s">
        <v>668</v>
      </c>
      <c r="J521" s="862"/>
      <c r="K521" s="530"/>
      <c r="L521" s="531"/>
      <c r="M521" s="3"/>
      <c r="N521" s="3"/>
    </row>
    <row r="522" spans="1:14" ht="15">
      <c r="A522" s="392" t="s">
        <v>364</v>
      </c>
      <c r="B522" s="101" t="s">
        <v>99</v>
      </c>
      <c r="C522" s="840">
        <f>CEILING(51*$Z$1,0.1)</f>
        <v>66.3</v>
      </c>
      <c r="D522" s="844"/>
      <c r="E522" s="840">
        <f>CEILING(113*$Z$1,0.1)</f>
        <v>146.9</v>
      </c>
      <c r="F522" s="844"/>
      <c r="G522" s="840">
        <f>CEILING(79*$Z$1,0.1)</f>
        <v>102.7</v>
      </c>
      <c r="H522" s="844"/>
      <c r="I522" s="840">
        <f>CEILING(66*$Z$1,0.1)</f>
        <v>85.80000000000001</v>
      </c>
      <c r="J522" s="844"/>
      <c r="K522" s="521"/>
      <c r="L522" s="440"/>
      <c r="M522" s="76"/>
      <c r="N522" s="76"/>
    </row>
    <row r="523" spans="1:14" ht="18" customHeight="1">
      <c r="A523" s="393" t="s">
        <v>91</v>
      </c>
      <c r="B523" s="34" t="s">
        <v>100</v>
      </c>
      <c r="C523" s="840">
        <f>_xlfn.CEILING.MATH((C522+25*$Z$1),0.1)</f>
        <v>98.80000000000001</v>
      </c>
      <c r="D523" s="841"/>
      <c r="E523" s="840">
        <f>_xlfn.CEILING.MATH((E522+25*$Z$1),0.1)</f>
        <v>179.4</v>
      </c>
      <c r="F523" s="841"/>
      <c r="G523" s="840">
        <f>_xlfn.CEILING.MATH((G522+25*$Z$1),0.1)</f>
        <v>135.20000000000002</v>
      </c>
      <c r="H523" s="841"/>
      <c r="I523" s="840">
        <f>_xlfn.CEILING.MATH((I522+25*$Z$1),0.1)</f>
        <v>118.30000000000001</v>
      </c>
      <c r="J523" s="841"/>
      <c r="K523" s="521"/>
      <c r="L523" s="440"/>
      <c r="M523" s="18"/>
      <c r="N523" s="226"/>
    </row>
    <row r="524" spans="1:14" ht="18" customHeight="1">
      <c r="A524" s="393"/>
      <c r="B524" s="34" t="s">
        <v>499</v>
      </c>
      <c r="C524" s="840">
        <f>_xlfn.CEILING.MATH((C522+10*$Z$1),0.1)</f>
        <v>79.30000000000001</v>
      </c>
      <c r="D524" s="841"/>
      <c r="E524" s="840">
        <f>_xlfn.CEILING.MATH((E522+10*$Z$1),0.1)</f>
        <v>159.9</v>
      </c>
      <c r="F524" s="841"/>
      <c r="G524" s="840">
        <f>_xlfn.CEILING.MATH((G522+10*$Z$1),0.1)</f>
        <v>115.7</v>
      </c>
      <c r="H524" s="841"/>
      <c r="I524" s="840">
        <f>_xlfn.CEILING.MATH((I522+10*$Z$1),0.1)</f>
        <v>98.80000000000001</v>
      </c>
      <c r="J524" s="841"/>
      <c r="K524" s="521"/>
      <c r="L524" s="440"/>
      <c r="M524" s="18"/>
      <c r="N524" s="226"/>
    </row>
    <row r="525" spans="1:14" ht="18" customHeight="1" thickBot="1">
      <c r="A525" s="231" t="s">
        <v>926</v>
      </c>
      <c r="B525" s="264" t="s">
        <v>500</v>
      </c>
      <c r="C525" s="846">
        <f>_xlfn.CEILING.MATH((C524+25*$Z$1),0.1)</f>
        <v>111.80000000000001</v>
      </c>
      <c r="D525" s="848"/>
      <c r="E525" s="846">
        <f>_xlfn.CEILING.MATH((E524+25*$Z$1),0.1)</f>
        <v>192.4</v>
      </c>
      <c r="F525" s="848"/>
      <c r="G525" s="846">
        <f>_xlfn.CEILING.MATH((G524+25*$Z$1),0.1)</f>
        <v>148.20000000000002</v>
      </c>
      <c r="H525" s="848"/>
      <c r="I525" s="846">
        <f>_xlfn.CEILING.MATH((I524+25*$Z$1),0.1)</f>
        <v>131.3</v>
      </c>
      <c r="J525" s="848"/>
      <c r="K525" s="521"/>
      <c r="L525" s="440"/>
      <c r="M525" s="18"/>
      <c r="N525" s="226"/>
    </row>
    <row r="526" spans="1:14" ht="17.25" customHeight="1" thickTop="1">
      <c r="A526" s="868" t="s">
        <v>722</v>
      </c>
      <c r="B526" s="869"/>
      <c r="C526" s="869"/>
      <c r="D526" s="869"/>
      <c r="E526" s="869"/>
      <c r="F526" s="869"/>
      <c r="G526" s="869"/>
      <c r="H526" s="869"/>
      <c r="I526" s="869"/>
      <c r="J526" s="869"/>
      <c r="K526" s="503"/>
      <c r="L526" s="503"/>
      <c r="M526" s="18"/>
      <c r="N526" s="226"/>
    </row>
    <row r="527" spans="1:14" ht="15.75" thickBot="1">
      <c r="A527" s="442"/>
      <c r="B527" s="47"/>
      <c r="C527" s="47"/>
      <c r="D527" s="113"/>
      <c r="E527" s="113"/>
      <c r="F527" s="113"/>
      <c r="G527" s="113"/>
      <c r="H527" s="113"/>
      <c r="I527" s="112"/>
      <c r="J527" s="112"/>
      <c r="K527" s="241"/>
      <c r="L527" s="241"/>
      <c r="M527" s="18"/>
      <c r="N527" s="226"/>
    </row>
    <row r="528" spans="1:14" ht="23.25" customHeight="1" thickTop="1">
      <c r="A528" s="93" t="s">
        <v>74</v>
      </c>
      <c r="B528" s="632" t="s">
        <v>144</v>
      </c>
      <c r="C528" s="889" t="s">
        <v>665</v>
      </c>
      <c r="D528" s="890"/>
      <c r="E528" s="858" t="s">
        <v>716</v>
      </c>
      <c r="F528" s="859"/>
      <c r="G528" s="860" t="s">
        <v>723</v>
      </c>
      <c r="H528" s="861"/>
      <c r="I528" s="856"/>
      <c r="J528" s="857"/>
      <c r="K528" s="621"/>
      <c r="L528" s="621"/>
      <c r="M528" s="18"/>
      <c r="N528" s="226"/>
    </row>
    <row r="529" spans="1:14" ht="17.25" customHeight="1">
      <c r="A529" s="392" t="s">
        <v>501</v>
      </c>
      <c r="B529" s="101" t="s">
        <v>99</v>
      </c>
      <c r="C529" s="840">
        <f>CEILING(45*$Z$1,0.1)</f>
        <v>58.5</v>
      </c>
      <c r="D529" s="844"/>
      <c r="E529" s="840">
        <f>CEILING(60*$Z$1,0.1)</f>
        <v>78</v>
      </c>
      <c r="F529" s="844"/>
      <c r="G529" s="840">
        <f>CEILING(50*$Z$1,0.1)</f>
        <v>65</v>
      </c>
      <c r="H529" s="844"/>
      <c r="I529" s="842"/>
      <c r="J529" s="845"/>
      <c r="K529" s="590"/>
      <c r="L529" s="590"/>
      <c r="M529" s="3"/>
      <c r="N529" s="3"/>
    </row>
    <row r="530" spans="1:14" ht="15">
      <c r="A530" s="631" t="s">
        <v>724</v>
      </c>
      <c r="B530" s="34" t="s">
        <v>100</v>
      </c>
      <c r="C530" s="840">
        <f>_xlfn.CEILING.MATH((C529+25*$Z$1),0.1)</f>
        <v>91</v>
      </c>
      <c r="D530" s="841"/>
      <c r="E530" s="840">
        <f>_xlfn.CEILING.MATH((E529+25*$Z$1),0.1)</f>
        <v>110.5</v>
      </c>
      <c r="F530" s="841"/>
      <c r="G530" s="840">
        <f>_xlfn.CEILING.MATH((G529+25*$Z$1),0.1)</f>
        <v>97.5</v>
      </c>
      <c r="H530" s="841"/>
      <c r="I530" s="842"/>
      <c r="J530" s="845"/>
      <c r="K530" s="590"/>
      <c r="L530" s="590"/>
      <c r="M530" s="76"/>
      <c r="N530" s="76"/>
    </row>
    <row r="531" spans="1:14" ht="16.5" customHeight="1" thickBot="1">
      <c r="A531" s="398" t="s">
        <v>899</v>
      </c>
      <c r="B531" s="143" t="s">
        <v>107</v>
      </c>
      <c r="C531" s="846">
        <f>CEILING((C529*0.5),0.1)</f>
        <v>29.3</v>
      </c>
      <c r="D531" s="848"/>
      <c r="E531" s="846">
        <f>CEILING((E529*0.5),0.1)</f>
        <v>39</v>
      </c>
      <c r="F531" s="848"/>
      <c r="G531" s="846">
        <f>CEILING((G529*0.5),0.1)</f>
        <v>32.5</v>
      </c>
      <c r="H531" s="848"/>
      <c r="I531" s="842"/>
      <c r="J531" s="845"/>
      <c r="K531" s="590"/>
      <c r="L531" s="590"/>
      <c r="M531" s="18"/>
      <c r="N531" s="226"/>
    </row>
    <row r="532" spans="1:14" ht="17.25" customHeight="1" thickTop="1">
      <c r="A532" s="258" t="s">
        <v>67</v>
      </c>
      <c r="B532" s="18"/>
      <c r="C532" s="18"/>
      <c r="D532" s="112"/>
      <c r="E532" s="112"/>
      <c r="F532" s="112"/>
      <c r="G532" s="112"/>
      <c r="H532" s="112"/>
      <c r="I532" s="112"/>
      <c r="J532" s="112"/>
      <c r="K532" s="503"/>
      <c r="L532" s="503"/>
      <c r="M532" s="18"/>
      <c r="N532" s="226"/>
    </row>
    <row r="533" spans="1:14" ht="17.25" customHeight="1" thickBot="1">
      <c r="A533" s="442"/>
      <c r="B533" s="47"/>
      <c r="C533" s="47"/>
      <c r="D533" s="113"/>
      <c r="E533" s="113"/>
      <c r="F533" s="113"/>
      <c r="G533" s="113"/>
      <c r="H533" s="113"/>
      <c r="I533" s="113"/>
      <c r="J533" s="113"/>
      <c r="K533" s="503"/>
      <c r="L533" s="503"/>
      <c r="M533" s="18"/>
      <c r="N533" s="226"/>
    </row>
    <row r="534" spans="1:14" ht="24.75" customHeight="1" thickTop="1">
      <c r="A534" s="93" t="s">
        <v>74</v>
      </c>
      <c r="B534" s="96"/>
      <c r="C534" s="889" t="s">
        <v>665</v>
      </c>
      <c r="D534" s="890"/>
      <c r="E534" s="858" t="s">
        <v>716</v>
      </c>
      <c r="F534" s="859"/>
      <c r="G534" s="860" t="s">
        <v>721</v>
      </c>
      <c r="H534" s="861"/>
      <c r="I534" s="860" t="s">
        <v>668</v>
      </c>
      <c r="J534" s="862"/>
      <c r="K534" s="665"/>
      <c r="L534" s="503"/>
      <c r="M534" s="18"/>
      <c r="N534" s="226"/>
    </row>
    <row r="535" spans="1:14" ht="17.25" customHeight="1">
      <c r="A535" s="392" t="s">
        <v>502</v>
      </c>
      <c r="B535" s="45" t="s">
        <v>134</v>
      </c>
      <c r="C535" s="840">
        <f>CEILING(41*$Z$1,0.1)</f>
        <v>53.300000000000004</v>
      </c>
      <c r="D535" s="844"/>
      <c r="E535" s="840">
        <f>CEILING(75*$Z$1,0.1)</f>
        <v>97.5</v>
      </c>
      <c r="F535" s="844"/>
      <c r="G535" s="840">
        <f>CEILING(60*$Z$1,0.1)</f>
        <v>78</v>
      </c>
      <c r="H535" s="844"/>
      <c r="I535" s="840">
        <f>CEILING(49*$Z$1,0.1)</f>
        <v>63.7</v>
      </c>
      <c r="J535" s="844"/>
      <c r="K535" s="665"/>
      <c r="L535" s="503"/>
      <c r="M535" s="18"/>
      <c r="N535" s="226"/>
    </row>
    <row r="536" spans="1:14" ht="17.25" customHeight="1">
      <c r="A536" s="262" t="s">
        <v>130</v>
      </c>
      <c r="B536" s="14" t="s">
        <v>83</v>
      </c>
      <c r="C536" s="840">
        <f>_xlfn.CEILING.MATH((C535+15*$Z$1),0.1)</f>
        <v>72.8</v>
      </c>
      <c r="D536" s="841"/>
      <c r="E536" s="840">
        <f>_xlfn.CEILING.MATH((E535+15*$Z$1),0.1)</f>
        <v>117</v>
      </c>
      <c r="F536" s="841"/>
      <c r="G536" s="840">
        <f>_xlfn.CEILING.MATH((G535+15*$Z$1),0.1)</f>
        <v>97.5</v>
      </c>
      <c r="H536" s="841"/>
      <c r="I536" s="840">
        <f>_xlfn.CEILING.MATH((I535+15*$Z$1),0.1)</f>
        <v>83.2</v>
      </c>
      <c r="J536" s="841"/>
      <c r="K536" s="503"/>
      <c r="L536" s="503"/>
      <c r="M536" s="18"/>
      <c r="N536" s="226"/>
    </row>
    <row r="537" spans="1:14" ht="17.25" customHeight="1">
      <c r="A537" s="16"/>
      <c r="B537" s="14" t="s">
        <v>78</v>
      </c>
      <c r="C537" s="840">
        <f>CEILING((C535*0.85),0.1)</f>
        <v>45.400000000000006</v>
      </c>
      <c r="D537" s="841"/>
      <c r="E537" s="840">
        <f>CEILING((E535*0.85),0.1)</f>
        <v>82.9</v>
      </c>
      <c r="F537" s="841"/>
      <c r="G537" s="840">
        <f>CEILING((G535*0.85),0.1)</f>
        <v>66.3</v>
      </c>
      <c r="H537" s="841"/>
      <c r="I537" s="840">
        <f>CEILING((I535*0.85),0.1)</f>
        <v>54.2</v>
      </c>
      <c r="J537" s="841"/>
      <c r="K537" s="503"/>
      <c r="L537" s="503"/>
      <c r="M537" s="18"/>
      <c r="N537" s="226"/>
    </row>
    <row r="538" spans="1:14" ht="17.25" customHeight="1">
      <c r="A538" s="16" t="s">
        <v>503</v>
      </c>
      <c r="B538" s="14" t="s">
        <v>107</v>
      </c>
      <c r="C538" s="840">
        <f>CEILING((C535*0.5),0.1)</f>
        <v>26.700000000000003</v>
      </c>
      <c r="D538" s="841"/>
      <c r="E538" s="840">
        <f>CEILING((E535*0.5),0.1)</f>
        <v>48.800000000000004</v>
      </c>
      <c r="F538" s="841"/>
      <c r="G538" s="840">
        <f>CEILING((G535*0.5),0.1)</f>
        <v>39</v>
      </c>
      <c r="H538" s="841"/>
      <c r="I538" s="840">
        <f>CEILING((I535*0.5),0.1)</f>
        <v>31.900000000000002</v>
      </c>
      <c r="J538" s="841"/>
      <c r="K538" s="503"/>
      <c r="L538" s="503"/>
      <c r="M538" s="18"/>
      <c r="N538" s="226"/>
    </row>
    <row r="539" spans="1:14" ht="17.25" customHeight="1">
      <c r="A539" s="263"/>
      <c r="B539" s="14" t="s">
        <v>267</v>
      </c>
      <c r="C539" s="840">
        <f>_xlfn.CEILING.MATH((C535+10*$Z$1),0.1)</f>
        <v>66.3</v>
      </c>
      <c r="D539" s="841"/>
      <c r="E539" s="840">
        <f>_xlfn.CEILING.MATH((E535+10*$Z$1),0.1)</f>
        <v>110.5</v>
      </c>
      <c r="F539" s="841"/>
      <c r="G539" s="840">
        <f>_xlfn.CEILING.MATH((G535+10*$Z$1),0.1)</f>
        <v>91</v>
      </c>
      <c r="H539" s="841"/>
      <c r="I539" s="840">
        <f>_xlfn.CEILING.MATH((I535+10*$Z$1),0.1)</f>
        <v>76.7</v>
      </c>
      <c r="J539" s="841"/>
      <c r="K539" s="503"/>
      <c r="L539" s="503"/>
      <c r="M539" s="18"/>
      <c r="N539" s="226"/>
    </row>
    <row r="540" spans="1:14" ht="17.25" customHeight="1" thickBot="1">
      <c r="A540" s="231" t="s">
        <v>926</v>
      </c>
      <c r="B540" s="15" t="s">
        <v>268</v>
      </c>
      <c r="C540" s="846">
        <f>_xlfn.CEILING.MATH((C539+15*$Z$1),0.1)</f>
        <v>85.80000000000001</v>
      </c>
      <c r="D540" s="848"/>
      <c r="E540" s="846">
        <f>_xlfn.CEILING.MATH((E539+15*$Z$1),0.1)</f>
        <v>130</v>
      </c>
      <c r="F540" s="848"/>
      <c r="G540" s="846">
        <f>_xlfn.CEILING.MATH((G539+15*$Z$1),0.1)</f>
        <v>110.5</v>
      </c>
      <c r="H540" s="848"/>
      <c r="I540" s="846">
        <f>_xlfn.CEILING.MATH((I539+15*$Z$1),0.1)</f>
        <v>96.2</v>
      </c>
      <c r="J540" s="848"/>
      <c r="K540" s="503"/>
      <c r="L540" s="503"/>
      <c r="M540" s="18"/>
      <c r="N540" s="226"/>
    </row>
    <row r="541" spans="1:14" ht="21" customHeight="1" thickBot="1" thickTop="1">
      <c r="A541" s="442"/>
      <c r="B541" s="47"/>
      <c r="C541" s="47"/>
      <c r="D541" s="113"/>
      <c r="E541" s="113"/>
      <c r="F541" s="113"/>
      <c r="G541" s="113"/>
      <c r="H541" s="113"/>
      <c r="I541" s="112"/>
      <c r="J541" s="112"/>
      <c r="K541" s="503"/>
      <c r="L541" s="503"/>
      <c r="M541" s="18"/>
      <c r="N541" s="226"/>
    </row>
    <row r="542" spans="1:14" ht="21" customHeight="1" thickTop="1">
      <c r="A542" s="93" t="s">
        <v>74</v>
      </c>
      <c r="B542" s="230"/>
      <c r="C542" s="956" t="s">
        <v>665</v>
      </c>
      <c r="D542" s="957"/>
      <c r="E542" s="956" t="s">
        <v>669</v>
      </c>
      <c r="F542" s="957"/>
      <c r="G542" s="885" t="s">
        <v>668</v>
      </c>
      <c r="H542" s="886"/>
      <c r="I542" s="914"/>
      <c r="J542" s="914"/>
      <c r="K542" s="533"/>
      <c r="L542" s="533"/>
      <c r="M542" s="18"/>
      <c r="N542" s="226"/>
    </row>
    <row r="543" spans="1:14" ht="16.5" customHeight="1">
      <c r="A543" s="109" t="s">
        <v>143</v>
      </c>
      <c r="B543" s="101" t="s">
        <v>82</v>
      </c>
      <c r="C543" s="840">
        <f>CEILING(48*$Z$1,0.1)</f>
        <v>62.400000000000006</v>
      </c>
      <c r="D543" s="844"/>
      <c r="E543" s="840">
        <f>CEILING(54*$Z$1,0.1)</f>
        <v>70.2</v>
      </c>
      <c r="F543" s="844"/>
      <c r="G543" s="840">
        <f>CEILING(48*$Z$1,0.1)</f>
        <v>62.400000000000006</v>
      </c>
      <c r="H543" s="844"/>
      <c r="I543" s="842"/>
      <c r="J543" s="845"/>
      <c r="K543" s="533"/>
      <c r="L543" s="533"/>
      <c r="M543" s="18"/>
      <c r="N543" s="226"/>
    </row>
    <row r="544" spans="1:14" ht="18" customHeight="1">
      <c r="A544" s="106"/>
      <c r="B544" s="34" t="s">
        <v>83</v>
      </c>
      <c r="C544" s="840">
        <f>_xlfn.CEILING.MATH((C543+8*$Z$1),0.1)</f>
        <v>72.8</v>
      </c>
      <c r="D544" s="841"/>
      <c r="E544" s="840">
        <f>_xlfn.CEILING.MATH((E543+8*$Z$1),0.1)</f>
        <v>80.60000000000001</v>
      </c>
      <c r="F544" s="841"/>
      <c r="G544" s="840">
        <f>_xlfn.CEILING.MATH((G543+8*$Z$1),0.1)</f>
        <v>72.8</v>
      </c>
      <c r="H544" s="841"/>
      <c r="I544" s="842"/>
      <c r="J544" s="845"/>
      <c r="K544" s="533"/>
      <c r="L544" s="533"/>
      <c r="M544" s="3"/>
      <c r="N544" s="3"/>
    </row>
    <row r="545" spans="1:14" ht="15.75" customHeight="1">
      <c r="A545" s="106"/>
      <c r="B545" s="34" t="s">
        <v>286</v>
      </c>
      <c r="C545" s="842">
        <v>0</v>
      </c>
      <c r="D545" s="843"/>
      <c r="E545" s="842">
        <v>0</v>
      </c>
      <c r="F545" s="843"/>
      <c r="G545" s="842">
        <v>0</v>
      </c>
      <c r="H545" s="843"/>
      <c r="I545" s="3"/>
      <c r="J545" s="3"/>
      <c r="K545" s="128"/>
      <c r="L545" s="502"/>
      <c r="M545" s="3"/>
      <c r="N545" s="3"/>
    </row>
    <row r="546" spans="1:14" ht="15.75" thickBot="1">
      <c r="A546" s="234" t="s">
        <v>936</v>
      </c>
      <c r="B546" s="152" t="s">
        <v>287</v>
      </c>
      <c r="C546" s="846">
        <f>CEILING((C543*0.7),0.1)</f>
        <v>43.7</v>
      </c>
      <c r="D546" s="848"/>
      <c r="E546" s="846">
        <f>CEILING((E543*0.7),0.1)</f>
        <v>49.2</v>
      </c>
      <c r="F546" s="848"/>
      <c r="G546" s="846">
        <f>CEILING((G543*0.7),0.1)</f>
        <v>43.7</v>
      </c>
      <c r="H546" s="848"/>
      <c r="I546" s="845"/>
      <c r="J546" s="845"/>
      <c r="K546" s="502"/>
      <c r="L546" s="502"/>
      <c r="M546" s="3"/>
      <c r="N546" s="3"/>
    </row>
    <row r="547" spans="1:14" ht="15.75" thickTop="1">
      <c r="A547" s="396" t="s">
        <v>763</v>
      </c>
      <c r="B547" s="397"/>
      <c r="C547" s="397"/>
      <c r="D547" s="397"/>
      <c r="E547" s="397"/>
      <c r="F547" s="397"/>
      <c r="G547" s="397"/>
      <c r="H547" s="397"/>
      <c r="I547" s="72"/>
      <c r="J547" s="72"/>
      <c r="K547" s="502"/>
      <c r="L547" s="502"/>
      <c r="M547" s="3"/>
      <c r="N547" s="3"/>
    </row>
    <row r="548" spans="1:14" ht="15.75" customHeight="1" thickBot="1">
      <c r="A548" s="54"/>
      <c r="B548" s="54"/>
      <c r="C548" s="54"/>
      <c r="D548" s="54"/>
      <c r="E548" s="54"/>
      <c r="F548" s="54"/>
      <c r="G548" s="472"/>
      <c r="H548" s="472"/>
      <c r="I548" s="20"/>
      <c r="J548" s="20"/>
      <c r="K548" s="502"/>
      <c r="L548" s="502"/>
      <c r="M548" s="18"/>
      <c r="N548" s="226"/>
    </row>
    <row r="549" spans="1:14" ht="21.75" customHeight="1" thickTop="1">
      <c r="A549" s="93" t="s">
        <v>74</v>
      </c>
      <c r="B549" s="102"/>
      <c r="C549" s="956" t="s">
        <v>665</v>
      </c>
      <c r="D549" s="957"/>
      <c r="E549" s="956" t="s">
        <v>669</v>
      </c>
      <c r="F549" s="957"/>
      <c r="G549" s="885" t="s">
        <v>668</v>
      </c>
      <c r="H549" s="886"/>
      <c r="I549" s="856"/>
      <c r="J549" s="857"/>
      <c r="K549" s="502"/>
      <c r="L549" s="502"/>
      <c r="M549" s="18"/>
      <c r="N549" s="226"/>
    </row>
    <row r="550" spans="1:14" ht="15">
      <c r="A550" s="103" t="s">
        <v>136</v>
      </c>
      <c r="B550" s="45" t="s">
        <v>82</v>
      </c>
      <c r="C550" s="840">
        <f>CEILING(40*$Z$1,0.1)</f>
        <v>52</v>
      </c>
      <c r="D550" s="844"/>
      <c r="E550" s="840">
        <f>CEILING(50*$Z$1,0.1)</f>
        <v>65</v>
      </c>
      <c r="F550" s="844"/>
      <c r="G550" s="840">
        <f>CEILING(40*$Z$1,0.1)</f>
        <v>52</v>
      </c>
      <c r="H550" s="844"/>
      <c r="I550" s="842"/>
      <c r="J550" s="845"/>
      <c r="K550" s="533"/>
      <c r="L550" s="533"/>
      <c r="M550" s="18"/>
      <c r="N550" s="226"/>
    </row>
    <row r="551" spans="1:14" ht="15">
      <c r="A551" s="40" t="s">
        <v>130</v>
      </c>
      <c r="B551" s="14" t="s">
        <v>83</v>
      </c>
      <c r="C551" s="840">
        <f>_xlfn.CEILING.MATH((C550+9*$Z$1),0.1)</f>
        <v>63.7</v>
      </c>
      <c r="D551" s="841"/>
      <c r="E551" s="840">
        <f>_xlfn.CEILING.MATH((E550+12*$Z$1),0.1)</f>
        <v>80.60000000000001</v>
      </c>
      <c r="F551" s="841"/>
      <c r="G551" s="840">
        <f>_xlfn.CEILING.MATH((G550+9*$Z$1),0.1)</f>
        <v>63.7</v>
      </c>
      <c r="H551" s="841"/>
      <c r="I551" s="842"/>
      <c r="J551" s="845"/>
      <c r="K551" s="533"/>
      <c r="L551" s="533"/>
      <c r="M551" s="18"/>
      <c r="N551" s="226"/>
    </row>
    <row r="552" spans="1:14" ht="18.75" customHeight="1">
      <c r="A552" s="40"/>
      <c r="B552" s="14" t="s">
        <v>78</v>
      </c>
      <c r="C552" s="840">
        <f>CEILING((C550*0.85),0.1)</f>
        <v>44.2</v>
      </c>
      <c r="D552" s="841"/>
      <c r="E552" s="840">
        <f>CEILING((E550*0.85),0.1)</f>
        <v>55.300000000000004</v>
      </c>
      <c r="F552" s="841"/>
      <c r="G552" s="840">
        <f>CEILING((G550*0.85),0.1)</f>
        <v>44.2</v>
      </c>
      <c r="H552" s="841"/>
      <c r="I552" s="842"/>
      <c r="J552" s="845"/>
      <c r="K552" s="128"/>
      <c r="L552" s="502"/>
      <c r="M552" s="18"/>
      <c r="N552" s="226"/>
    </row>
    <row r="553" spans="1:14" ht="18" customHeight="1">
      <c r="A553" s="40"/>
      <c r="B553" s="34" t="s">
        <v>286</v>
      </c>
      <c r="C553" s="842">
        <v>0</v>
      </c>
      <c r="D553" s="843"/>
      <c r="E553" s="842">
        <v>0</v>
      </c>
      <c r="F553" s="843"/>
      <c r="G553" s="842">
        <v>0</v>
      </c>
      <c r="H553" s="843"/>
      <c r="I553" s="4"/>
      <c r="J553" s="3"/>
      <c r="K553" s="502"/>
      <c r="L553" s="502"/>
      <c r="M553" s="18"/>
      <c r="N553" s="226"/>
    </row>
    <row r="554" spans="1:14" ht="15.75" customHeight="1" thickBot="1">
      <c r="A554" s="73" t="s">
        <v>935</v>
      </c>
      <c r="B554" s="152" t="s">
        <v>287</v>
      </c>
      <c r="C554" s="846">
        <f>CEILING((C550*0.7),0.1)</f>
        <v>36.4</v>
      </c>
      <c r="D554" s="848"/>
      <c r="E554" s="846">
        <f>CEILING((E550*0.7),0.1)</f>
        <v>45.5</v>
      </c>
      <c r="F554" s="848"/>
      <c r="G554" s="846">
        <f>CEILING((G550*0.7),0.1)</f>
        <v>36.4</v>
      </c>
      <c r="H554" s="848"/>
      <c r="I554" s="842"/>
      <c r="J554" s="845"/>
      <c r="K554" s="502"/>
      <c r="L554" s="502"/>
      <c r="M554" s="76"/>
      <c r="N554" s="76"/>
    </row>
    <row r="555" spans="1:14" ht="17.25" customHeight="1" thickTop="1">
      <c r="A555" s="396" t="s">
        <v>763</v>
      </c>
      <c r="B555" s="228"/>
      <c r="C555" s="228"/>
      <c r="D555" s="228"/>
      <c r="E555" s="228"/>
      <c r="F555" s="228"/>
      <c r="G555" s="228"/>
      <c r="H555" s="228"/>
      <c r="I555" s="397"/>
      <c r="J555" s="473"/>
      <c r="K555" s="502"/>
      <c r="L555" s="502"/>
      <c r="M555" s="18"/>
      <c r="N555" s="226"/>
    </row>
    <row r="556" spans="1:14" ht="16.5" customHeight="1" thickBot="1">
      <c r="A556" s="54"/>
      <c r="B556" s="54"/>
      <c r="C556" s="54"/>
      <c r="D556" s="54"/>
      <c r="E556" s="54"/>
      <c r="F556" s="54"/>
      <c r="G556" s="54"/>
      <c r="H556" s="54"/>
      <c r="I556" s="20"/>
      <c r="J556" s="20"/>
      <c r="K556" s="502"/>
      <c r="L556" s="502"/>
      <c r="M556" s="110"/>
      <c r="N556" s="110"/>
    </row>
    <row r="557" spans="1:14" ht="24.75" customHeight="1" thickTop="1">
      <c r="A557" s="93" t="s">
        <v>74</v>
      </c>
      <c r="B557" s="102"/>
      <c r="C557" s="956" t="s">
        <v>665</v>
      </c>
      <c r="D557" s="957"/>
      <c r="E557" s="956" t="s">
        <v>669</v>
      </c>
      <c r="F557" s="957"/>
      <c r="G557" s="885" t="s">
        <v>668</v>
      </c>
      <c r="H557" s="886"/>
      <c r="I557" s="856"/>
      <c r="J557" s="857"/>
      <c r="K557" s="502"/>
      <c r="L557" s="502"/>
      <c r="M557" s="50"/>
      <c r="N557" s="50"/>
    </row>
    <row r="558" spans="1:14" ht="15.75" customHeight="1">
      <c r="A558" s="103" t="s">
        <v>137</v>
      </c>
      <c r="B558" s="45" t="s">
        <v>82</v>
      </c>
      <c r="C558" s="840">
        <f>CEILING(43*$Z$1,0.1)</f>
        <v>55.900000000000006</v>
      </c>
      <c r="D558" s="844"/>
      <c r="E558" s="840">
        <f>CEILING(50*$Z$1,0.1)</f>
        <v>65</v>
      </c>
      <c r="F558" s="844"/>
      <c r="G558" s="840">
        <f>CEILING(43*$Z$1,0.1)</f>
        <v>55.900000000000006</v>
      </c>
      <c r="H558" s="844"/>
      <c r="I558" s="842"/>
      <c r="J558" s="845"/>
      <c r="K558" s="502"/>
      <c r="L558" s="502"/>
      <c r="M558" s="50"/>
      <c r="N558" s="50"/>
    </row>
    <row r="559" spans="1:14" ht="17.25" customHeight="1">
      <c r="A559" s="40" t="s">
        <v>130</v>
      </c>
      <c r="B559" s="14" t="s">
        <v>83</v>
      </c>
      <c r="C559" s="840">
        <f>_xlfn.CEILING.MATH((C558+10*$Z$1),0.1)</f>
        <v>68.9</v>
      </c>
      <c r="D559" s="841"/>
      <c r="E559" s="840">
        <f>_xlfn.CEILING.MATH((E558+14*$Z$1),0.1)</f>
        <v>83.2</v>
      </c>
      <c r="F559" s="841"/>
      <c r="G559" s="840">
        <f>_xlfn.CEILING.MATH((G558+10*$Z$1),0.1)</f>
        <v>68.9</v>
      </c>
      <c r="H559" s="841"/>
      <c r="I559" s="842"/>
      <c r="J559" s="845"/>
      <c r="K559" s="533"/>
      <c r="L559" s="533"/>
      <c r="M559" s="50"/>
      <c r="N559" s="50"/>
    </row>
    <row r="560" spans="1:14" ht="18.75" customHeight="1">
      <c r="A560" s="87"/>
      <c r="B560" s="14" t="s">
        <v>78</v>
      </c>
      <c r="C560" s="840">
        <f>CEILING((C558*0.85),0.1)</f>
        <v>47.6</v>
      </c>
      <c r="D560" s="841"/>
      <c r="E560" s="840">
        <f>CEILING((E558*0.85),0.1)</f>
        <v>55.300000000000004</v>
      </c>
      <c r="F560" s="841"/>
      <c r="G560" s="840">
        <f>CEILING((G558*0.85),0.1)</f>
        <v>47.6</v>
      </c>
      <c r="H560" s="841"/>
      <c r="I560" s="842"/>
      <c r="J560" s="845"/>
      <c r="K560" s="533"/>
      <c r="L560" s="533"/>
      <c r="M560" s="50"/>
      <c r="N560" s="50"/>
    </row>
    <row r="561" spans="1:14" ht="18.75" customHeight="1">
      <c r="A561" s="87"/>
      <c r="B561" s="34" t="s">
        <v>286</v>
      </c>
      <c r="C561" s="842">
        <v>0</v>
      </c>
      <c r="D561" s="843"/>
      <c r="E561" s="842">
        <v>0</v>
      </c>
      <c r="F561" s="843"/>
      <c r="G561" s="842">
        <v>0</v>
      </c>
      <c r="H561" s="843"/>
      <c r="I561" s="4"/>
      <c r="J561" s="3"/>
      <c r="K561" s="440"/>
      <c r="L561" s="440"/>
      <c r="M561" s="76"/>
      <c r="N561" s="76"/>
    </row>
    <row r="562" spans="1:25" s="724" customFormat="1" ht="18.75" customHeight="1">
      <c r="A562" s="87"/>
      <c r="B562" s="34" t="s">
        <v>287</v>
      </c>
      <c r="C562" s="840">
        <f>CEILING((C558*0.7),0.1)</f>
        <v>39.2</v>
      </c>
      <c r="D562" s="841"/>
      <c r="E562" s="840">
        <f>CEILING((E558*0.7),0.1)</f>
        <v>45.5</v>
      </c>
      <c r="F562" s="841"/>
      <c r="G562" s="840">
        <f>CEILING((G558*0.7),0.1)</f>
        <v>39.2</v>
      </c>
      <c r="H562" s="841"/>
      <c r="I562" s="4"/>
      <c r="J562" s="3"/>
      <c r="K562" s="440"/>
      <c r="L562" s="440"/>
      <c r="M562" s="76"/>
      <c r="N562" s="76"/>
      <c r="O562" s="244"/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</row>
    <row r="563" spans="1:25" s="724" customFormat="1" ht="18.75" customHeight="1">
      <c r="A563" s="87"/>
      <c r="B563" s="34" t="s">
        <v>289</v>
      </c>
      <c r="C563" s="840">
        <f>_xlfn.CEILING.MATH((C558+2*$Z$1),0.1)</f>
        <v>58.5</v>
      </c>
      <c r="D563" s="841"/>
      <c r="E563" s="840">
        <f>_xlfn.CEILING.MATH((E558+4*$Z$1),0.1)</f>
        <v>70.2</v>
      </c>
      <c r="F563" s="841"/>
      <c r="G563" s="840">
        <f>_xlfn.CEILING.MATH((G558+2*$Z$1),0.1)</f>
        <v>58.5</v>
      </c>
      <c r="H563" s="841"/>
      <c r="I563" s="4"/>
      <c r="J563" s="3"/>
      <c r="K563" s="440"/>
      <c r="L563" s="440"/>
      <c r="M563" s="76"/>
      <c r="N563" s="76"/>
      <c r="O563" s="244"/>
      <c r="P563" s="244"/>
      <c r="Q563" s="244"/>
      <c r="R563" s="244"/>
      <c r="S563" s="244"/>
      <c r="T563" s="244"/>
      <c r="U563" s="244"/>
      <c r="V563" s="244"/>
      <c r="W563" s="244"/>
      <c r="X563" s="244"/>
      <c r="Y563" s="244"/>
    </row>
    <row r="564" spans="1:14" ht="17.25" customHeight="1" thickBot="1">
      <c r="A564" s="73" t="s">
        <v>935</v>
      </c>
      <c r="B564" s="152" t="s">
        <v>290</v>
      </c>
      <c r="C564" s="846">
        <f>_xlfn.CEILING.MATH((C563+10*$Z$1),0.1)</f>
        <v>71.5</v>
      </c>
      <c r="D564" s="848"/>
      <c r="E564" s="846">
        <f>_xlfn.CEILING.MATH((E563+13*$Z$1),0.1)</f>
        <v>87.10000000000001</v>
      </c>
      <c r="F564" s="848"/>
      <c r="G564" s="846">
        <f>_xlfn.CEILING.MATH((G563+10*$Z$1),0.1)</f>
        <v>71.5</v>
      </c>
      <c r="H564" s="848"/>
      <c r="I564" s="842"/>
      <c r="J564" s="845"/>
      <c r="K564" s="502"/>
      <c r="L564" s="502"/>
      <c r="M564" s="3"/>
      <c r="N564" s="3"/>
    </row>
    <row r="565" spans="1:14" ht="15.75" thickTop="1">
      <c r="A565" s="945" t="s">
        <v>764</v>
      </c>
      <c r="B565" s="946"/>
      <c r="C565" s="946"/>
      <c r="D565" s="946"/>
      <c r="E565" s="946"/>
      <c r="F565" s="946"/>
      <c r="G565" s="946"/>
      <c r="H565" s="946"/>
      <c r="I565" s="947"/>
      <c r="J565" s="948"/>
      <c r="K565" s="502"/>
      <c r="L565" s="502"/>
      <c r="M565" s="110"/>
      <c r="N565" s="110"/>
    </row>
    <row r="566" spans="1:14" ht="19.5" customHeight="1" thickBot="1">
      <c r="A566" s="54"/>
      <c r="B566" s="54"/>
      <c r="C566" s="54"/>
      <c r="D566" s="54"/>
      <c r="E566" s="54"/>
      <c r="F566" s="54"/>
      <c r="G566" s="54"/>
      <c r="H566" s="54"/>
      <c r="I566" s="20"/>
      <c r="J566" s="20"/>
      <c r="K566" s="502"/>
      <c r="L566" s="502"/>
      <c r="M566" s="110"/>
      <c r="N566" s="110"/>
    </row>
    <row r="567" spans="1:14" ht="21.75" customHeight="1" thickTop="1">
      <c r="A567" s="93" t="s">
        <v>74</v>
      </c>
      <c r="B567" s="102"/>
      <c r="C567" s="956" t="s">
        <v>665</v>
      </c>
      <c r="D567" s="957"/>
      <c r="E567" s="956" t="s">
        <v>669</v>
      </c>
      <c r="F567" s="957"/>
      <c r="G567" s="885" t="s">
        <v>668</v>
      </c>
      <c r="H567" s="886"/>
      <c r="I567" s="1085"/>
      <c r="J567" s="914"/>
      <c r="K567" s="502"/>
      <c r="L567" s="502"/>
      <c r="M567" s="110"/>
      <c r="N567" s="110"/>
    </row>
    <row r="568" spans="1:14" ht="16.5" customHeight="1">
      <c r="A568" s="109" t="s">
        <v>138</v>
      </c>
      <c r="B568" s="101" t="s">
        <v>82</v>
      </c>
      <c r="C568" s="840">
        <f>CEILING(36*$Z$1,0.1)</f>
        <v>46.800000000000004</v>
      </c>
      <c r="D568" s="844"/>
      <c r="E568" s="840">
        <f>CEILING(43*$Z$1,0.1)</f>
        <v>55.900000000000006</v>
      </c>
      <c r="F568" s="844"/>
      <c r="G568" s="840">
        <f>CEILING(36*$Z$1,0.1)</f>
        <v>46.800000000000004</v>
      </c>
      <c r="H568" s="844"/>
      <c r="I568" s="842"/>
      <c r="J568" s="845"/>
      <c r="K568" s="502"/>
      <c r="L568" s="502"/>
      <c r="M568" s="50"/>
      <c r="N568" s="50"/>
    </row>
    <row r="569" spans="1:14" ht="16.5" customHeight="1">
      <c r="A569" s="106" t="s">
        <v>135</v>
      </c>
      <c r="B569" s="34" t="s">
        <v>83</v>
      </c>
      <c r="C569" s="840">
        <f>_xlfn.CEILING.MATH((C568+9*$Z$1),0.1)</f>
        <v>58.5</v>
      </c>
      <c r="D569" s="841"/>
      <c r="E569" s="840">
        <f>_xlfn.CEILING.MATH((E568+11*$Z$1),0.1)</f>
        <v>70.2</v>
      </c>
      <c r="F569" s="841"/>
      <c r="G569" s="840">
        <f>_xlfn.CEILING.MATH((G568+9*$Z$1),0.1)</f>
        <v>58.5</v>
      </c>
      <c r="H569" s="841"/>
      <c r="I569" s="842"/>
      <c r="J569" s="845"/>
      <c r="K569" s="502"/>
      <c r="L569" s="502"/>
      <c r="M569" s="50"/>
      <c r="N569" s="50"/>
    </row>
    <row r="570" spans="1:14" ht="15">
      <c r="A570" s="270"/>
      <c r="B570" s="34" t="s">
        <v>286</v>
      </c>
      <c r="C570" s="842">
        <v>0</v>
      </c>
      <c r="D570" s="843"/>
      <c r="E570" s="842">
        <v>0</v>
      </c>
      <c r="F570" s="843"/>
      <c r="G570" s="842">
        <v>0</v>
      </c>
      <c r="H570" s="843"/>
      <c r="I570" s="4"/>
      <c r="J570" s="3"/>
      <c r="K570" s="502"/>
      <c r="L570" s="502"/>
      <c r="M570" s="50"/>
      <c r="N570" s="50"/>
    </row>
    <row r="571" spans="1:14" ht="14.25" customHeight="1" thickBot="1">
      <c r="A571" s="73" t="s">
        <v>934</v>
      </c>
      <c r="B571" s="152" t="s">
        <v>287</v>
      </c>
      <c r="C571" s="846">
        <f>CEILING((C568*0.7),0.1)</f>
        <v>32.800000000000004</v>
      </c>
      <c r="D571" s="848"/>
      <c r="E571" s="846">
        <f>CEILING((E568*0.7),0.1)</f>
        <v>39.2</v>
      </c>
      <c r="F571" s="848"/>
      <c r="G571" s="846">
        <f>CEILING((G568*0.7),0.1)</f>
        <v>32.800000000000004</v>
      </c>
      <c r="H571" s="848"/>
      <c r="I571" s="842"/>
      <c r="J571" s="845"/>
      <c r="K571" s="507"/>
      <c r="L571" s="507"/>
      <c r="M571" s="76"/>
      <c r="N571" s="76"/>
    </row>
    <row r="572" spans="1:14" ht="16.5" customHeight="1" thickTop="1">
      <c r="A572" s="945" t="s">
        <v>764</v>
      </c>
      <c r="B572" s="946"/>
      <c r="C572" s="946"/>
      <c r="D572" s="946"/>
      <c r="E572" s="946"/>
      <c r="F572" s="946"/>
      <c r="G572" s="946"/>
      <c r="H572" s="946"/>
      <c r="I572" s="947"/>
      <c r="J572" s="948"/>
      <c r="K572" s="507"/>
      <c r="L572" s="507"/>
      <c r="M572" s="18"/>
      <c r="N572" s="226"/>
    </row>
    <row r="573" spans="1:14" ht="18" customHeight="1" thickBot="1">
      <c r="A573" s="47"/>
      <c r="B573" s="54"/>
      <c r="C573" s="113"/>
      <c r="D573" s="113"/>
      <c r="E573" s="113"/>
      <c r="F573" s="113"/>
      <c r="G573" s="474"/>
      <c r="H573" s="474"/>
      <c r="I573" s="1012"/>
      <c r="J573" s="1012"/>
      <c r="K573" s="149"/>
      <c r="L573" s="149"/>
      <c r="M573" s="110"/>
      <c r="N573" s="110"/>
    </row>
    <row r="574" spans="1:14" ht="22.5" customHeight="1" thickTop="1">
      <c r="A574" s="93" t="s">
        <v>74</v>
      </c>
      <c r="B574" s="700" t="s">
        <v>144</v>
      </c>
      <c r="C574" s="956" t="s">
        <v>665</v>
      </c>
      <c r="D574" s="957"/>
      <c r="E574" s="956" t="s">
        <v>669</v>
      </c>
      <c r="F574" s="957"/>
      <c r="G574" s="885" t="s">
        <v>668</v>
      </c>
      <c r="H574" s="1086"/>
      <c r="I574" s="1085"/>
      <c r="J574" s="914"/>
      <c r="K574" s="149"/>
      <c r="L574" s="149"/>
      <c r="M574" s="50"/>
      <c r="N574" s="50"/>
    </row>
    <row r="575" spans="1:14" ht="16.5" customHeight="1">
      <c r="A575" s="233" t="s">
        <v>139</v>
      </c>
      <c r="B575" s="34" t="s">
        <v>82</v>
      </c>
      <c r="C575" s="840">
        <f>CEILING(22*$Z$1,0.1)</f>
        <v>28.6</v>
      </c>
      <c r="D575" s="844"/>
      <c r="E575" s="840">
        <f>CEILING(25*$Z$1,0.1)</f>
        <v>32.5</v>
      </c>
      <c r="F575" s="844"/>
      <c r="G575" s="840">
        <f>CEILING(22*$Z$1,0.1)</f>
        <v>28.6</v>
      </c>
      <c r="H575" s="844"/>
      <c r="I575" s="4"/>
      <c r="J575" s="3"/>
      <c r="K575" s="149"/>
      <c r="L575" s="149"/>
      <c r="M575" s="50"/>
      <c r="N575" s="50"/>
    </row>
    <row r="576" spans="1:14" ht="16.5" customHeight="1">
      <c r="A576" s="106"/>
      <c r="B576" s="34" t="s">
        <v>83</v>
      </c>
      <c r="C576" s="840">
        <f>_xlfn.CEILING.MATH((C575+4*$Z$1),0.1)</f>
        <v>33.800000000000004</v>
      </c>
      <c r="D576" s="841"/>
      <c r="E576" s="840">
        <f>_xlfn.CEILING.MATH((E575+6*$Z$1),0.1)</f>
        <v>40.300000000000004</v>
      </c>
      <c r="F576" s="841"/>
      <c r="G576" s="840">
        <f>_xlfn.CEILING.MATH((G575+4*$Z$1),0.1)</f>
        <v>33.800000000000004</v>
      </c>
      <c r="H576" s="841"/>
      <c r="I576" s="842"/>
      <c r="J576" s="845"/>
      <c r="K576" s="502"/>
      <c r="L576" s="502"/>
      <c r="M576" s="50"/>
      <c r="N576" s="50"/>
    </row>
    <row r="577" spans="1:14" ht="16.5" customHeight="1">
      <c r="A577" s="270"/>
      <c r="B577" s="34" t="s">
        <v>286</v>
      </c>
      <c r="C577" s="842">
        <v>0</v>
      </c>
      <c r="D577" s="843"/>
      <c r="E577" s="842">
        <v>0</v>
      </c>
      <c r="F577" s="843"/>
      <c r="G577" s="842">
        <v>0</v>
      </c>
      <c r="H577" s="843"/>
      <c r="I577" s="3"/>
      <c r="J577" s="3"/>
      <c r="K577" s="502"/>
      <c r="L577" s="502"/>
      <c r="M577" s="50"/>
      <c r="N577" s="50"/>
    </row>
    <row r="578" spans="1:14" ht="18.75" customHeight="1" thickBot="1">
      <c r="A578" s="73" t="s">
        <v>935</v>
      </c>
      <c r="B578" s="152" t="s">
        <v>287</v>
      </c>
      <c r="C578" s="846">
        <f>CEILING((C575*0.7),0.1)</f>
        <v>20.1</v>
      </c>
      <c r="D578" s="848"/>
      <c r="E578" s="846">
        <f>CEILING((E575*0.7),0.1)</f>
        <v>22.8</v>
      </c>
      <c r="F578" s="848"/>
      <c r="G578" s="846">
        <f>CEILING((G575*0.7),0.1)</f>
        <v>20.1</v>
      </c>
      <c r="H578" s="848"/>
      <c r="I578" s="842"/>
      <c r="J578" s="845"/>
      <c r="K578" s="507"/>
      <c r="L578" s="507"/>
      <c r="M578" s="50"/>
      <c r="N578" s="50"/>
    </row>
    <row r="579" spans="1:14" ht="15.75" thickTop="1">
      <c r="A579" s="945" t="s">
        <v>765</v>
      </c>
      <c r="B579" s="946"/>
      <c r="C579" s="946"/>
      <c r="D579" s="946"/>
      <c r="E579" s="946"/>
      <c r="F579" s="946"/>
      <c r="G579" s="946"/>
      <c r="H579" s="946"/>
      <c r="I579" s="947"/>
      <c r="J579" s="948"/>
      <c r="K579" s="507"/>
      <c r="L579" s="507"/>
      <c r="M579" s="18"/>
      <c r="N579" s="226"/>
    </row>
    <row r="580" spans="1:14" ht="15.75" thickBot="1">
      <c r="A580" s="114"/>
      <c r="B580" s="62"/>
      <c r="C580" s="2"/>
      <c r="D580" s="2"/>
      <c r="E580" s="2"/>
      <c r="F580" s="2"/>
      <c r="G580" s="2"/>
      <c r="H580" s="2"/>
      <c r="I580" s="3"/>
      <c r="J580" s="3"/>
      <c r="K580" s="507"/>
      <c r="L580" s="507"/>
      <c r="M580" s="18"/>
      <c r="N580" s="226"/>
    </row>
    <row r="581" spans="1:14" ht="24.75" customHeight="1" thickTop="1">
      <c r="A581" s="10" t="s">
        <v>74</v>
      </c>
      <c r="B581" s="108"/>
      <c r="C581" s="956" t="s">
        <v>665</v>
      </c>
      <c r="D581" s="957"/>
      <c r="E581" s="956" t="s">
        <v>669</v>
      </c>
      <c r="F581" s="957"/>
      <c r="G581" s="885" t="s">
        <v>668</v>
      </c>
      <c r="H581" s="886"/>
      <c r="I581" s="1085"/>
      <c r="J581" s="914"/>
      <c r="K581" s="507"/>
      <c r="L581" s="507"/>
      <c r="M581" s="18"/>
      <c r="N581" s="226"/>
    </row>
    <row r="582" spans="1:14" ht="15">
      <c r="A582" s="233" t="s">
        <v>140</v>
      </c>
      <c r="B582" s="34" t="s">
        <v>82</v>
      </c>
      <c r="C582" s="840">
        <f>CEILING(35*$Z$1,0.1)</f>
        <v>45.5</v>
      </c>
      <c r="D582" s="844"/>
      <c r="E582" s="840">
        <f>CEILING(39*$Z$1,0.1)</f>
        <v>50.7</v>
      </c>
      <c r="F582" s="844"/>
      <c r="G582" s="840">
        <f>CEILING(35*$Z$1,0.1)</f>
        <v>45.5</v>
      </c>
      <c r="H582" s="844"/>
      <c r="I582" s="842"/>
      <c r="J582" s="845"/>
      <c r="K582" s="149"/>
      <c r="L582" s="149"/>
      <c r="M582" s="18"/>
      <c r="N582" s="226"/>
    </row>
    <row r="583" spans="1:14" ht="15">
      <c r="A583" s="106" t="s">
        <v>135</v>
      </c>
      <c r="B583" s="34" t="s">
        <v>83</v>
      </c>
      <c r="C583" s="840">
        <f>_xlfn.CEILING.MATH((C582+8*$Z$1),0.1)</f>
        <v>55.900000000000006</v>
      </c>
      <c r="D583" s="841"/>
      <c r="E583" s="840">
        <f>_xlfn.CEILING.MATH((E582+9*$Z$1),0.1)</f>
        <v>62.400000000000006</v>
      </c>
      <c r="F583" s="841"/>
      <c r="G583" s="840">
        <f>_xlfn.CEILING.MATH((G582+8*$Z$1),0.1)</f>
        <v>55.900000000000006</v>
      </c>
      <c r="H583" s="841"/>
      <c r="I583" s="842"/>
      <c r="J583" s="845"/>
      <c r="K583" s="149"/>
      <c r="L583" s="149"/>
      <c r="M583" s="18"/>
      <c r="N583" s="226"/>
    </row>
    <row r="584" spans="1:14" ht="15">
      <c r="A584" s="106"/>
      <c r="B584" s="34" t="s">
        <v>286</v>
      </c>
      <c r="C584" s="842">
        <v>0</v>
      </c>
      <c r="D584" s="843"/>
      <c r="E584" s="842">
        <v>0</v>
      </c>
      <c r="F584" s="843"/>
      <c r="G584" s="842">
        <v>0</v>
      </c>
      <c r="H584" s="843"/>
      <c r="I584" s="4"/>
      <c r="J584" s="3"/>
      <c r="K584" s="149"/>
      <c r="L584" s="149"/>
      <c r="M584" s="18"/>
      <c r="N584" s="226"/>
    </row>
    <row r="585" spans="1:14" ht="15">
      <c r="A585" s="106"/>
      <c r="B585" s="34" t="s">
        <v>287</v>
      </c>
      <c r="C585" s="840">
        <f>CEILING((C582*0.7),0.1)</f>
        <v>31.900000000000002</v>
      </c>
      <c r="D585" s="841"/>
      <c r="E585" s="840">
        <f>CEILING((E582*0.7),0.1)</f>
        <v>35.5</v>
      </c>
      <c r="F585" s="841"/>
      <c r="G585" s="840">
        <f>CEILING((G582*0.7),0.1)</f>
        <v>31.900000000000002</v>
      </c>
      <c r="H585" s="841"/>
      <c r="I585" s="4"/>
      <c r="J585" s="3"/>
      <c r="K585" s="502"/>
      <c r="L585" s="502"/>
      <c r="M585" s="18"/>
      <c r="N585" s="226"/>
    </row>
    <row r="586" spans="1:14" ht="15">
      <c r="A586" s="106"/>
      <c r="B586" s="23" t="s">
        <v>141</v>
      </c>
      <c r="C586" s="840">
        <f>CEILING(83*$Z$1,0.1)</f>
        <v>107.9</v>
      </c>
      <c r="D586" s="841"/>
      <c r="E586" s="840">
        <f>CEILING(83*$Z$1,0.1)</f>
        <v>107.9</v>
      </c>
      <c r="F586" s="841"/>
      <c r="G586" s="840">
        <f>CEILING(83*$Z$1,0.1)</f>
        <v>107.9</v>
      </c>
      <c r="H586" s="841"/>
      <c r="I586" s="4"/>
      <c r="J586" s="3"/>
      <c r="K586" s="502"/>
      <c r="L586" s="502"/>
      <c r="M586" s="18"/>
      <c r="N586" s="226"/>
    </row>
    <row r="587" spans="1:14" ht="15.75" thickBot="1">
      <c r="A587" s="234" t="s">
        <v>934</v>
      </c>
      <c r="B587" s="235" t="s">
        <v>142</v>
      </c>
      <c r="C587" s="846">
        <f>CEILING(155*$Z$1,0.1)</f>
        <v>201.5</v>
      </c>
      <c r="D587" s="848"/>
      <c r="E587" s="846">
        <f>CEILING(155*$Z$1,0.1)</f>
        <v>201.5</v>
      </c>
      <c r="F587" s="848"/>
      <c r="G587" s="846">
        <f>CEILING(155*$Z$1,0.1)</f>
        <v>201.5</v>
      </c>
      <c r="H587" s="848"/>
      <c r="I587" s="842"/>
      <c r="J587" s="845"/>
      <c r="K587" s="507"/>
      <c r="L587" s="507"/>
      <c r="M587" s="18"/>
      <c r="N587" s="226"/>
    </row>
    <row r="588" spans="1:14" ht="15.75" thickTop="1">
      <c r="A588" s="945" t="s">
        <v>764</v>
      </c>
      <c r="B588" s="946"/>
      <c r="C588" s="946"/>
      <c r="D588" s="946"/>
      <c r="E588" s="946"/>
      <c r="F588" s="946"/>
      <c r="G588" s="946"/>
      <c r="H588" s="946"/>
      <c r="I588" s="947"/>
      <c r="J588" s="948"/>
      <c r="K588" s="507"/>
      <c r="L588" s="507"/>
      <c r="M588" s="18"/>
      <c r="N588" s="226"/>
    </row>
    <row r="589" spans="1:14" ht="15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149"/>
      <c r="L589" s="149"/>
      <c r="M589" s="18"/>
      <c r="N589" s="226"/>
    </row>
    <row r="590" spans="1:14" ht="15">
      <c r="A590" s="50"/>
      <c r="B590" s="115"/>
      <c r="C590" s="3"/>
      <c r="D590" s="3"/>
      <c r="E590" s="3"/>
      <c r="F590" s="3"/>
      <c r="G590" s="3"/>
      <c r="H590" s="3"/>
      <c r="I590" s="3"/>
      <c r="J590" s="3"/>
      <c r="K590" s="128"/>
      <c r="L590" s="502"/>
      <c r="M590" s="76"/>
      <c r="N590" s="76"/>
    </row>
    <row r="591" spans="1:14" ht="21" customHeight="1">
      <c r="A591" s="1070" t="s">
        <v>145</v>
      </c>
      <c r="B591" s="1070"/>
      <c r="C591" s="1070"/>
      <c r="D591" s="1070"/>
      <c r="E591" s="1070"/>
      <c r="F591" s="1070"/>
      <c r="G591" s="1070"/>
      <c r="H591" s="1070"/>
      <c r="I591" s="1070"/>
      <c r="J591" s="1070"/>
      <c r="K591" s="128"/>
      <c r="L591" s="502"/>
      <c r="M591" s="18"/>
      <c r="N591" s="226"/>
    </row>
    <row r="592" spans="1:14" ht="19.5" customHeight="1" thickBot="1">
      <c r="A592" s="1071"/>
      <c r="B592" s="1071"/>
      <c r="C592" s="1071"/>
      <c r="D592" s="1071"/>
      <c r="E592" s="1071"/>
      <c r="F592" s="1071"/>
      <c r="G592" s="1071"/>
      <c r="H592" s="1071"/>
      <c r="I592" s="116"/>
      <c r="J592" s="117"/>
      <c r="K592" s="502"/>
      <c r="L592" s="502"/>
      <c r="M592" s="18"/>
      <c r="N592" s="226"/>
    </row>
    <row r="593" spans="1:14" ht="15.75" thickTop="1">
      <c r="A593" s="974"/>
      <c r="B593" s="58"/>
      <c r="C593" s="1040" t="s">
        <v>437</v>
      </c>
      <c r="D593" s="1069"/>
      <c r="E593" s="852" t="s">
        <v>489</v>
      </c>
      <c r="F593" s="853"/>
      <c r="G593" s="915" t="s">
        <v>478</v>
      </c>
      <c r="H593" s="916"/>
      <c r="I593" s="278" t="s">
        <v>540</v>
      </c>
      <c r="J593" s="281"/>
      <c r="K593" s="502"/>
      <c r="L593" s="502"/>
      <c r="M593" s="18"/>
      <c r="N593" s="226"/>
    </row>
    <row r="594" spans="1:14" ht="15">
      <c r="A594" s="1060"/>
      <c r="B594" s="58"/>
      <c r="C594" s="118" t="s">
        <v>144</v>
      </c>
      <c r="D594" s="119" t="s">
        <v>146</v>
      </c>
      <c r="E594" s="118" t="s">
        <v>144</v>
      </c>
      <c r="F594" s="119" t="s">
        <v>146</v>
      </c>
      <c r="G594" s="118" t="s">
        <v>144</v>
      </c>
      <c r="H594" s="119" t="s">
        <v>146</v>
      </c>
      <c r="I594" s="118" t="s">
        <v>144</v>
      </c>
      <c r="J594" s="118" t="s">
        <v>146</v>
      </c>
      <c r="K594" s="502"/>
      <c r="L594" s="502"/>
      <c r="M594" s="18"/>
      <c r="N594" s="226"/>
    </row>
    <row r="595" spans="1:14" ht="17.25" customHeight="1">
      <c r="A595" s="103" t="s">
        <v>147</v>
      </c>
      <c r="B595" s="45" t="s">
        <v>82</v>
      </c>
      <c r="C595" s="342"/>
      <c r="D595" s="9"/>
      <c r="E595" s="9"/>
      <c r="F595" s="9"/>
      <c r="G595" s="9"/>
      <c r="H595" s="8"/>
      <c r="I595" s="9"/>
      <c r="J595" s="9"/>
      <c r="K595" s="502"/>
      <c r="L595" s="502"/>
      <c r="M595" s="18"/>
      <c r="N595" s="226"/>
    </row>
    <row r="596" spans="1:14" ht="15.75" customHeight="1">
      <c r="A596" s="350" t="s">
        <v>76</v>
      </c>
      <c r="B596" s="14" t="s">
        <v>83</v>
      </c>
      <c r="C596" s="341"/>
      <c r="D596" s="5"/>
      <c r="E596" s="5"/>
      <c r="F596" s="5"/>
      <c r="G596" s="5"/>
      <c r="H596" s="4"/>
      <c r="I596" s="5"/>
      <c r="J596" s="5"/>
      <c r="K596" s="502"/>
      <c r="L596" s="502"/>
      <c r="M596" s="18"/>
      <c r="N596" s="226"/>
    </row>
    <row r="597" spans="1:14" ht="15.75" customHeight="1">
      <c r="A597" s="216"/>
      <c r="B597" s="41" t="s">
        <v>78</v>
      </c>
      <c r="C597" s="341"/>
      <c r="D597" s="5"/>
      <c r="E597" s="5"/>
      <c r="F597" s="5"/>
      <c r="G597" s="5"/>
      <c r="H597" s="5"/>
      <c r="I597" s="5"/>
      <c r="J597" s="5"/>
      <c r="K597" s="502"/>
      <c r="L597" s="502"/>
      <c r="M597" s="18"/>
      <c r="N597" s="226"/>
    </row>
    <row r="598" spans="1:14" ht="15.75" customHeight="1">
      <c r="A598" s="216"/>
      <c r="B598" s="41" t="s">
        <v>541</v>
      </c>
      <c r="C598" s="341"/>
      <c r="D598" s="5"/>
      <c r="E598" s="5"/>
      <c r="F598" s="5"/>
      <c r="G598" s="5"/>
      <c r="H598" s="5"/>
      <c r="I598" s="5"/>
      <c r="J598" s="5"/>
      <c r="K598" s="502"/>
      <c r="L598" s="502"/>
      <c r="M598" s="18"/>
      <c r="N598" s="226"/>
    </row>
    <row r="599" spans="1:14" ht="15.75" customHeight="1">
      <c r="A599" s="216"/>
      <c r="B599" s="14" t="s">
        <v>542</v>
      </c>
      <c r="C599" s="341"/>
      <c r="D599" s="5"/>
      <c r="E599" s="5"/>
      <c r="F599" s="5"/>
      <c r="G599" s="5"/>
      <c r="H599" s="5"/>
      <c r="I599" s="5"/>
      <c r="J599" s="5"/>
      <c r="K599" s="502"/>
      <c r="L599" s="502"/>
      <c r="M599" s="18"/>
      <c r="N599" s="226"/>
    </row>
    <row r="600" spans="1:14" ht="16.5" customHeight="1">
      <c r="A600" s="261"/>
      <c r="B600" s="12" t="s">
        <v>75</v>
      </c>
      <c r="C600" s="341"/>
      <c r="D600" s="5"/>
      <c r="E600" s="5"/>
      <c r="F600" s="5"/>
      <c r="G600" s="5"/>
      <c r="H600" s="5"/>
      <c r="I600" s="5"/>
      <c r="J600" s="5"/>
      <c r="K600" s="128"/>
      <c r="L600" s="502"/>
      <c r="M600" s="18"/>
      <c r="N600" s="226"/>
    </row>
    <row r="601" spans="1:14" ht="18" customHeight="1" thickBot="1">
      <c r="A601" s="104" t="s">
        <v>933</v>
      </c>
      <c r="B601" s="49" t="s">
        <v>77</v>
      </c>
      <c r="C601" s="343"/>
      <c r="D601" s="6"/>
      <c r="E601" s="6"/>
      <c r="F601" s="6"/>
      <c r="G601" s="6"/>
      <c r="H601" s="6"/>
      <c r="I601" s="6"/>
      <c r="J601" s="6"/>
      <c r="K601" s="128"/>
      <c r="L601" s="502"/>
      <c r="M601" s="18"/>
      <c r="N601" s="226"/>
    </row>
    <row r="602" spans="1:14" ht="15.75" thickTop="1">
      <c r="A602" s="967" t="s">
        <v>337</v>
      </c>
      <c r="B602" s="967"/>
      <c r="C602" s="967"/>
      <c r="D602" s="967"/>
      <c r="E602" s="967"/>
      <c r="F602" s="967"/>
      <c r="G602" s="967"/>
      <c r="H602" s="967"/>
      <c r="I602" s="967"/>
      <c r="J602" s="968"/>
      <c r="K602" s="128"/>
      <c r="L602" s="502"/>
      <c r="M602" s="18"/>
      <c r="N602" s="226"/>
    </row>
    <row r="603" spans="1:14" ht="15">
      <c r="A603" s="20" t="s">
        <v>543</v>
      </c>
      <c r="B603" s="24"/>
      <c r="C603" s="24"/>
      <c r="D603" s="24"/>
      <c r="E603" s="24"/>
      <c r="F603" s="24"/>
      <c r="G603" s="24"/>
      <c r="H603" s="24"/>
      <c r="I603" s="24"/>
      <c r="J603" s="24"/>
      <c r="K603" s="128"/>
      <c r="L603" s="502"/>
      <c r="M603" s="18"/>
      <c r="N603" s="226"/>
    </row>
    <row r="604" spans="1:14" ht="15.75" thickBot="1">
      <c r="A604" s="37"/>
      <c r="B604" s="37"/>
      <c r="C604" s="37"/>
      <c r="D604" s="37"/>
      <c r="E604" s="37"/>
      <c r="F604" s="37"/>
      <c r="G604" s="24"/>
      <c r="H604" s="24"/>
      <c r="I604" s="24"/>
      <c r="J604" s="24"/>
      <c r="K604" s="502"/>
      <c r="L604" s="502"/>
      <c r="M604" s="76"/>
      <c r="N604" s="76"/>
    </row>
    <row r="605" spans="1:14" ht="24.75" customHeight="1" thickTop="1">
      <c r="A605" s="79" t="s">
        <v>74</v>
      </c>
      <c r="B605" s="366" t="s">
        <v>148</v>
      </c>
      <c r="C605" s="870" t="s">
        <v>735</v>
      </c>
      <c r="D605" s="871"/>
      <c r="E605" s="854" t="s">
        <v>736</v>
      </c>
      <c r="F605" s="855"/>
      <c r="G605" s="981"/>
      <c r="H605" s="982"/>
      <c r="I605" s="857"/>
      <c r="J605" s="857"/>
      <c r="K605" s="502"/>
      <c r="L605" s="502"/>
      <c r="M605" s="18"/>
      <c r="N605" s="226"/>
    </row>
    <row r="606" spans="1:14" ht="17.25" customHeight="1">
      <c r="A606" s="103" t="s">
        <v>149</v>
      </c>
      <c r="B606" s="167" t="s">
        <v>82</v>
      </c>
      <c r="C606" s="840">
        <f>CEILING(81.5*$Z$1,0.1)</f>
        <v>106</v>
      </c>
      <c r="D606" s="844"/>
      <c r="E606" s="840">
        <f>CEILING(60*$Z$1,0.1)</f>
        <v>78</v>
      </c>
      <c r="F606" s="844"/>
      <c r="G606" s="840"/>
      <c r="H606" s="844"/>
      <c r="I606" s="845"/>
      <c r="J606" s="845"/>
      <c r="K606" s="502"/>
      <c r="L606" s="502"/>
      <c r="M606" s="18"/>
      <c r="N606" s="226"/>
    </row>
    <row r="607" spans="1:14" ht="15">
      <c r="A607" s="81"/>
      <c r="B607" s="34" t="s">
        <v>83</v>
      </c>
      <c r="C607" s="840">
        <f>CEILING(97*$Z$1,0.1)</f>
        <v>126.10000000000001</v>
      </c>
      <c r="D607" s="844"/>
      <c r="E607" s="840">
        <f>CEILING(75*$Z$1,0.1)</f>
        <v>97.5</v>
      </c>
      <c r="F607" s="844"/>
      <c r="G607" s="840"/>
      <c r="H607" s="844"/>
      <c r="I607" s="845"/>
      <c r="J607" s="845"/>
      <c r="K607" s="502"/>
      <c r="L607" s="502"/>
      <c r="M607" s="76"/>
      <c r="N607" s="76"/>
    </row>
    <row r="608" spans="1:14" ht="17.25" customHeight="1">
      <c r="A608" s="33" t="s">
        <v>91</v>
      </c>
      <c r="B608" s="41" t="s">
        <v>78</v>
      </c>
      <c r="C608" s="840">
        <f>CEILING(65*$Z$1,0.1)</f>
        <v>84.5</v>
      </c>
      <c r="D608" s="844"/>
      <c r="E608" s="840">
        <f>CEILING(48*$Z$1,0.1)</f>
        <v>62.400000000000006</v>
      </c>
      <c r="F608" s="844"/>
      <c r="G608" s="840"/>
      <c r="H608" s="844"/>
      <c r="I608" s="845"/>
      <c r="J608" s="845"/>
      <c r="K608" s="502"/>
      <c r="L608" s="502"/>
      <c r="M608" s="18"/>
      <c r="N608" s="226"/>
    </row>
    <row r="609" spans="1:14" ht="16.5" customHeight="1">
      <c r="A609" s="40"/>
      <c r="B609" s="34" t="s">
        <v>132</v>
      </c>
      <c r="C609" s="842">
        <v>0</v>
      </c>
      <c r="D609" s="845"/>
      <c r="E609" s="842">
        <v>0</v>
      </c>
      <c r="F609" s="845"/>
      <c r="G609" s="842"/>
      <c r="H609" s="845"/>
      <c r="I609" s="845"/>
      <c r="J609" s="845"/>
      <c r="K609" s="128"/>
      <c r="L609" s="502"/>
      <c r="M609" s="18"/>
      <c r="N609" s="226"/>
    </row>
    <row r="610" spans="1:14" ht="16.5" customHeight="1">
      <c r="A610" s="40"/>
      <c r="B610" s="12" t="s">
        <v>150</v>
      </c>
      <c r="C610" s="840">
        <f>CEILING(84.5*$Z$1,0.1)</f>
        <v>109.9</v>
      </c>
      <c r="D610" s="844"/>
      <c r="E610" s="840">
        <f>CEILING(63*$Z$1,0.1)</f>
        <v>81.9</v>
      </c>
      <c r="F610" s="844"/>
      <c r="G610" s="840"/>
      <c r="H610" s="844"/>
      <c r="I610" s="845"/>
      <c r="J610" s="845"/>
      <c r="K610" s="502"/>
      <c r="L610" s="502"/>
      <c r="M610" s="18"/>
      <c r="N610" s="226"/>
    </row>
    <row r="611" spans="1:14" ht="15.75" customHeight="1">
      <c r="A611" s="40"/>
      <c r="B611" s="12" t="s">
        <v>151</v>
      </c>
      <c r="C611" s="840">
        <f>CEILING(100*$Z$1,0.1)</f>
        <v>130</v>
      </c>
      <c r="D611" s="844"/>
      <c r="E611" s="840">
        <f>CEILING(78*$Z$1,0.1)</f>
        <v>101.4</v>
      </c>
      <c r="F611" s="844"/>
      <c r="G611" s="840"/>
      <c r="H611" s="844"/>
      <c r="I611" s="845"/>
      <c r="J611" s="845"/>
      <c r="K611" s="128"/>
      <c r="L611" s="502"/>
      <c r="M611" s="18"/>
      <c r="N611" s="226"/>
    </row>
    <row r="612" spans="1:14" ht="17.25" customHeight="1">
      <c r="A612" s="33"/>
      <c r="B612" s="34" t="s">
        <v>104</v>
      </c>
      <c r="C612" s="840">
        <f>CEILING(87.5*$Z$1,0.1)</f>
        <v>113.80000000000001</v>
      </c>
      <c r="D612" s="844"/>
      <c r="E612" s="840">
        <f>CEILING(66*$Z$1,0.1)</f>
        <v>85.80000000000001</v>
      </c>
      <c r="F612" s="841"/>
      <c r="G612" s="842"/>
      <c r="H612" s="845"/>
      <c r="I612" s="845"/>
      <c r="J612" s="845"/>
      <c r="K612" s="502"/>
      <c r="L612" s="502"/>
      <c r="M612" s="18"/>
      <c r="N612" s="226"/>
    </row>
    <row r="613" spans="1:14" ht="15.75" thickBot="1">
      <c r="A613" s="105" t="s">
        <v>880</v>
      </c>
      <c r="B613" s="264" t="s">
        <v>105</v>
      </c>
      <c r="C613" s="846">
        <f>CEILING(103*$Z$1,0.1)</f>
        <v>133.9</v>
      </c>
      <c r="D613" s="847"/>
      <c r="E613" s="846">
        <f>CEILING(81*$Z$1,0.1)</f>
        <v>105.30000000000001</v>
      </c>
      <c r="F613" s="848"/>
      <c r="G613" s="842"/>
      <c r="H613" s="845"/>
      <c r="I613" s="845"/>
      <c r="J613" s="845"/>
      <c r="K613" s="502"/>
      <c r="L613" s="502"/>
      <c r="M613" s="18"/>
      <c r="N613" s="226"/>
    </row>
    <row r="614" spans="1:14" ht="15.75" thickTop="1">
      <c r="A614" s="634" t="s">
        <v>737</v>
      </c>
      <c r="B614" s="60"/>
      <c r="C614" s="637"/>
      <c r="D614" s="637"/>
      <c r="E614" s="637"/>
      <c r="F614" s="637"/>
      <c r="G614" s="637"/>
      <c r="H614" s="637"/>
      <c r="I614" s="637"/>
      <c r="J614" s="637"/>
      <c r="K614" s="502"/>
      <c r="L614" s="502"/>
      <c r="M614" s="18"/>
      <c r="N614" s="226"/>
    </row>
    <row r="615" spans="1:14" ht="23.25" customHeight="1" thickBot="1">
      <c r="A615" s="92"/>
      <c r="B615" s="71"/>
      <c r="C615" s="71"/>
      <c r="D615" s="71"/>
      <c r="E615" s="71"/>
      <c r="F615" s="71"/>
      <c r="G615" s="646"/>
      <c r="H615" s="646"/>
      <c r="I615" s="646"/>
      <c r="J615" s="646"/>
      <c r="K615" s="502"/>
      <c r="L615" s="502"/>
      <c r="M615" s="18"/>
      <c r="N615" s="226"/>
    </row>
    <row r="616" spans="1:14" ht="21.75" customHeight="1" thickTop="1">
      <c r="A616" s="79" t="s">
        <v>74</v>
      </c>
      <c r="B616" s="366" t="s">
        <v>148</v>
      </c>
      <c r="C616" s="870" t="s">
        <v>735</v>
      </c>
      <c r="D616" s="871"/>
      <c r="E616" s="854" t="s">
        <v>736</v>
      </c>
      <c r="F616" s="930"/>
      <c r="G616" s="981"/>
      <c r="H616" s="982"/>
      <c r="I616" s="857"/>
      <c r="J616" s="857"/>
      <c r="K616" s="502"/>
      <c r="L616" s="502"/>
      <c r="M616" s="18"/>
      <c r="N616" s="226"/>
    </row>
    <row r="617" spans="1:14" ht="15">
      <c r="A617" s="103" t="s">
        <v>152</v>
      </c>
      <c r="B617" s="167" t="s">
        <v>82</v>
      </c>
      <c r="C617" s="837">
        <f>CEILING(58.5*$Z$1,0.1)</f>
        <v>76.10000000000001</v>
      </c>
      <c r="D617" s="838"/>
      <c r="E617" s="837">
        <f>CEILING(45.5*$Z$1,0.1)</f>
        <v>59.2</v>
      </c>
      <c r="F617" s="839"/>
      <c r="G617" s="842"/>
      <c r="H617" s="845"/>
      <c r="I617" s="845"/>
      <c r="J617" s="845"/>
      <c r="K617" s="502"/>
      <c r="L617" s="502"/>
      <c r="M617" s="18"/>
      <c r="N617" s="226"/>
    </row>
    <row r="618" spans="1:14" ht="15">
      <c r="A618" s="81"/>
      <c r="B618" s="34" t="s">
        <v>83</v>
      </c>
      <c r="C618" s="840">
        <f>CEILING(74*$Z$1,0.1)</f>
        <v>96.2</v>
      </c>
      <c r="D618" s="844"/>
      <c r="E618" s="840">
        <f>CEILING(61*$Z$1,0.1)</f>
        <v>79.30000000000001</v>
      </c>
      <c r="F618" s="841"/>
      <c r="G618" s="842"/>
      <c r="H618" s="845"/>
      <c r="I618" s="845"/>
      <c r="J618" s="845"/>
      <c r="K618" s="502"/>
      <c r="L618" s="502"/>
      <c r="M618" s="18"/>
      <c r="N618" s="226"/>
    </row>
    <row r="619" spans="1:14" ht="15">
      <c r="A619" s="33" t="s">
        <v>130</v>
      </c>
      <c r="B619" s="41" t="s">
        <v>78</v>
      </c>
      <c r="C619" s="840">
        <f>CEILING(47*$Z$1,0.1)</f>
        <v>61.1</v>
      </c>
      <c r="D619" s="844"/>
      <c r="E619" s="840">
        <f>CEILING(36*$Z$1,0.1)</f>
        <v>46.800000000000004</v>
      </c>
      <c r="F619" s="841"/>
      <c r="G619" s="842"/>
      <c r="H619" s="845"/>
      <c r="I619" s="845"/>
      <c r="J619" s="845"/>
      <c r="K619" s="502"/>
      <c r="L619" s="502"/>
      <c r="M619" s="18"/>
      <c r="N619" s="226"/>
    </row>
    <row r="620" spans="1:14" ht="15">
      <c r="A620" s="33"/>
      <c r="B620" s="14" t="s">
        <v>132</v>
      </c>
      <c r="C620" s="842">
        <v>0</v>
      </c>
      <c r="D620" s="845"/>
      <c r="E620" s="842">
        <v>0</v>
      </c>
      <c r="F620" s="843"/>
      <c r="G620" s="842"/>
      <c r="H620" s="845"/>
      <c r="I620" s="845"/>
      <c r="J620" s="845"/>
      <c r="K620" s="502"/>
      <c r="L620" s="502"/>
      <c r="M620" s="18"/>
      <c r="N620" s="226"/>
    </row>
    <row r="621" spans="1:14" ht="15.75" customHeight="1">
      <c r="A621" s="33"/>
      <c r="B621" s="12" t="s">
        <v>153</v>
      </c>
      <c r="C621" s="840">
        <f>CEILING(61.5*$Z$1,0.1)</f>
        <v>80</v>
      </c>
      <c r="D621" s="844"/>
      <c r="E621" s="840">
        <f>CEILING(48.5*$Z$1,0.1)</f>
        <v>63.1</v>
      </c>
      <c r="F621" s="841"/>
      <c r="G621" s="842"/>
      <c r="H621" s="845"/>
      <c r="I621" s="845"/>
      <c r="J621" s="845"/>
      <c r="K621" s="502"/>
      <c r="L621" s="502"/>
      <c r="M621" s="18"/>
      <c r="N621" s="226"/>
    </row>
    <row r="622" spans="1:14" ht="15.75" thickBot="1">
      <c r="A622" s="105" t="s">
        <v>880</v>
      </c>
      <c r="B622" s="49" t="s">
        <v>154</v>
      </c>
      <c r="C622" s="846">
        <f>CEILING(77*$Z$1,0.1)</f>
        <v>100.10000000000001</v>
      </c>
      <c r="D622" s="847"/>
      <c r="E622" s="846">
        <f>CEILING(64*$Z$1,0.1)</f>
        <v>83.2</v>
      </c>
      <c r="F622" s="848"/>
      <c r="G622" s="842"/>
      <c r="H622" s="845"/>
      <c r="I622" s="845"/>
      <c r="J622" s="845"/>
      <c r="K622" s="502"/>
      <c r="L622" s="502"/>
      <c r="M622" s="18"/>
      <c r="N622" s="226"/>
    </row>
    <row r="623" spans="1:14" ht="15.75" thickTop="1">
      <c r="A623" s="634" t="s">
        <v>738</v>
      </c>
      <c r="B623" s="51"/>
      <c r="C623" s="637"/>
      <c r="D623" s="637"/>
      <c r="E623" s="637"/>
      <c r="F623" s="637"/>
      <c r="G623" s="637"/>
      <c r="H623" s="637"/>
      <c r="I623" s="637"/>
      <c r="J623" s="637"/>
      <c r="K623" s="502"/>
      <c r="L623" s="502"/>
      <c r="M623" s="18"/>
      <c r="N623" s="226"/>
    </row>
    <row r="624" spans="1:14" ht="15.75" customHeight="1" thickBot="1">
      <c r="A624" s="639"/>
      <c r="B624" s="639"/>
      <c r="C624" s="639"/>
      <c r="D624" s="639"/>
      <c r="E624" s="639"/>
      <c r="F624" s="639"/>
      <c r="G624" s="649"/>
      <c r="H624" s="649"/>
      <c r="I624" s="649"/>
      <c r="J624" s="649"/>
      <c r="K624" s="502"/>
      <c r="L624" s="502"/>
      <c r="M624" s="18"/>
      <c r="N624" s="226"/>
    </row>
    <row r="625" spans="1:14" ht="27" customHeight="1" thickTop="1">
      <c r="A625" s="79" t="s">
        <v>74</v>
      </c>
      <c r="B625" s="366" t="s">
        <v>148</v>
      </c>
      <c r="C625" s="870" t="s">
        <v>735</v>
      </c>
      <c r="D625" s="871"/>
      <c r="E625" s="854" t="s">
        <v>736</v>
      </c>
      <c r="F625" s="930"/>
      <c r="G625" s="981"/>
      <c r="H625" s="982"/>
      <c r="I625" s="857"/>
      <c r="J625" s="857"/>
      <c r="K625" s="502"/>
      <c r="L625" s="502"/>
      <c r="M625" s="214"/>
      <c r="N625" s="211"/>
    </row>
    <row r="626" spans="1:14" ht="15.75" customHeight="1">
      <c r="A626" s="103" t="s">
        <v>155</v>
      </c>
      <c r="B626" s="167" t="s">
        <v>82</v>
      </c>
      <c r="C626" s="837">
        <f>CEILING(58.5*$Z$1,0.1)</f>
        <v>76.10000000000001</v>
      </c>
      <c r="D626" s="838"/>
      <c r="E626" s="837">
        <f>CEILING(45.5*$Z$1,0.1)</f>
        <v>59.2</v>
      </c>
      <c r="F626" s="839"/>
      <c r="G626" s="842"/>
      <c r="H626" s="845"/>
      <c r="I626" s="845"/>
      <c r="J626" s="845"/>
      <c r="K626" s="502"/>
      <c r="L626" s="502"/>
      <c r="M626" s="214"/>
      <c r="N626" s="211"/>
    </row>
    <row r="627" spans="1:14" ht="15">
      <c r="A627" s="81"/>
      <c r="B627" s="34" t="s">
        <v>83</v>
      </c>
      <c r="C627" s="840">
        <f>CEILING(74*$Z$1,0.1)</f>
        <v>96.2</v>
      </c>
      <c r="D627" s="844"/>
      <c r="E627" s="840">
        <f>CEILING(61*$Z$1,0.1)</f>
        <v>79.30000000000001</v>
      </c>
      <c r="F627" s="841"/>
      <c r="G627" s="842"/>
      <c r="H627" s="845"/>
      <c r="I627" s="845"/>
      <c r="J627" s="845"/>
      <c r="K627" s="502"/>
      <c r="L627" s="502"/>
      <c r="M627" s="214"/>
      <c r="N627" s="211"/>
    </row>
    <row r="628" spans="1:14" ht="15">
      <c r="A628" s="33" t="s">
        <v>130</v>
      </c>
      <c r="B628" s="14" t="s">
        <v>132</v>
      </c>
      <c r="C628" s="842">
        <v>0</v>
      </c>
      <c r="D628" s="845"/>
      <c r="E628" s="842">
        <v>0</v>
      </c>
      <c r="F628" s="843"/>
      <c r="G628" s="842"/>
      <c r="H628" s="845"/>
      <c r="I628" s="845"/>
      <c r="J628" s="845"/>
      <c r="K628" s="502"/>
      <c r="L628" s="502"/>
      <c r="M628" s="214"/>
      <c r="N628" s="211"/>
    </row>
    <row r="629" spans="1:14" ht="15">
      <c r="A629" s="33"/>
      <c r="B629" s="34" t="s">
        <v>156</v>
      </c>
      <c r="C629" s="840">
        <f>CEILING(61.5*$Z$1,0.1)</f>
        <v>80</v>
      </c>
      <c r="D629" s="841"/>
      <c r="E629" s="840">
        <f>CEILING(48.5*$Z$1,0.1)</f>
        <v>63.1</v>
      </c>
      <c r="F629" s="841"/>
      <c r="G629" s="842"/>
      <c r="H629" s="845"/>
      <c r="I629" s="845"/>
      <c r="J629" s="845"/>
      <c r="K629" s="502"/>
      <c r="L629" s="502"/>
      <c r="M629" s="214"/>
      <c r="N629" s="211"/>
    </row>
    <row r="630" spans="1:14" ht="15">
      <c r="A630" s="33"/>
      <c r="B630" s="34" t="s">
        <v>154</v>
      </c>
      <c r="C630" s="840">
        <f>CEILING(77*$Z$1,0.1)</f>
        <v>100.10000000000001</v>
      </c>
      <c r="D630" s="844"/>
      <c r="E630" s="840">
        <f>CEILING(64*$Z$1,0.1)</f>
        <v>83.2</v>
      </c>
      <c r="F630" s="844"/>
      <c r="G630" s="842"/>
      <c r="H630" s="845"/>
      <c r="I630" s="845"/>
      <c r="J630" s="845"/>
      <c r="K630" s="502"/>
      <c r="L630" s="502"/>
      <c r="M630" s="214"/>
      <c r="N630" s="211"/>
    </row>
    <row r="631" spans="1:14" ht="15">
      <c r="A631" s="33"/>
      <c r="B631" s="34" t="s">
        <v>157</v>
      </c>
      <c r="C631" s="840">
        <f>CEILING(66.5*$Z$1,0.1)</f>
        <v>86.5</v>
      </c>
      <c r="D631" s="841"/>
      <c r="E631" s="840">
        <f>CEILING(53.5*$Z$1,0.1)</f>
        <v>69.60000000000001</v>
      </c>
      <c r="F631" s="841"/>
      <c r="G631" s="842"/>
      <c r="H631" s="845"/>
      <c r="I631" s="845"/>
      <c r="J631" s="845"/>
      <c r="K631" s="128"/>
      <c r="L631" s="502"/>
      <c r="M631" s="214"/>
      <c r="N631" s="211"/>
    </row>
    <row r="632" spans="1:14" ht="16.5" customHeight="1">
      <c r="A632" s="33"/>
      <c r="B632" s="34" t="s">
        <v>158</v>
      </c>
      <c r="C632" s="840">
        <f>CEILING(82*$Z$1,0.1)</f>
        <v>106.60000000000001</v>
      </c>
      <c r="D632" s="844"/>
      <c r="E632" s="840">
        <f>CEILING(69*$Z$1,0.1)</f>
        <v>89.7</v>
      </c>
      <c r="F632" s="844"/>
      <c r="G632" s="842"/>
      <c r="H632" s="845"/>
      <c r="I632" s="845"/>
      <c r="J632" s="845"/>
      <c r="K632" s="128"/>
      <c r="L632" s="502"/>
      <c r="M632" s="214"/>
      <c r="N632" s="211"/>
    </row>
    <row r="633" spans="1:14" ht="18" customHeight="1" thickBot="1">
      <c r="A633" s="105" t="s">
        <v>932</v>
      </c>
      <c r="B633" s="265" t="s">
        <v>285</v>
      </c>
      <c r="C633" s="846">
        <f>CEILING(61*$Z$1,0.1)</f>
        <v>79.30000000000001</v>
      </c>
      <c r="D633" s="847"/>
      <c r="E633" s="846">
        <f>CEILING(50*$Z$1,0.1)</f>
        <v>65</v>
      </c>
      <c r="F633" s="848"/>
      <c r="G633" s="842"/>
      <c r="H633" s="845"/>
      <c r="I633" s="845"/>
      <c r="J633" s="845"/>
      <c r="K633" s="128"/>
      <c r="L633" s="502"/>
      <c r="M633" s="214"/>
      <c r="N633" s="211"/>
    </row>
    <row r="634" spans="1:14" ht="18.75" customHeight="1" thickTop="1">
      <c r="A634" s="634" t="s">
        <v>738</v>
      </c>
      <c r="B634" s="100"/>
      <c r="C634" s="637"/>
      <c r="D634" s="637"/>
      <c r="E634" s="637"/>
      <c r="F634" s="637"/>
      <c r="G634" s="637"/>
      <c r="H634" s="637"/>
      <c r="I634" s="637"/>
      <c r="J634" s="637"/>
      <c r="K634" s="128"/>
      <c r="L634" s="502"/>
      <c r="M634" s="214"/>
      <c r="N634" s="211"/>
    </row>
    <row r="635" spans="1:14" ht="15.75" thickBot="1">
      <c r="A635" s="95"/>
      <c r="B635" s="90"/>
      <c r="C635" s="121"/>
      <c r="D635" s="121"/>
      <c r="E635" s="121"/>
      <c r="F635" s="121"/>
      <c r="G635" s="647"/>
      <c r="H635" s="647"/>
      <c r="I635" s="648"/>
      <c r="J635" s="648"/>
      <c r="K635" s="128"/>
      <c r="L635" s="502"/>
      <c r="M635" s="214"/>
      <c r="N635" s="211"/>
    </row>
    <row r="636" spans="1:14" ht="22.5" customHeight="1" thickTop="1">
      <c r="A636" s="64" t="s">
        <v>74</v>
      </c>
      <c r="B636" s="227"/>
      <c r="C636" s="870" t="s">
        <v>735</v>
      </c>
      <c r="D636" s="871"/>
      <c r="E636" s="854" t="s">
        <v>736</v>
      </c>
      <c r="F636" s="930"/>
      <c r="G636" s="1058"/>
      <c r="H636" s="1059"/>
      <c r="I636" s="1003"/>
      <c r="J636" s="1003"/>
      <c r="K636" s="128"/>
      <c r="L636" s="502"/>
      <c r="M636" s="214"/>
      <c r="N636" s="211"/>
    </row>
    <row r="637" spans="1:14" ht="15">
      <c r="A637" s="254" t="s">
        <v>572</v>
      </c>
      <c r="B637" s="167" t="s">
        <v>745</v>
      </c>
      <c r="C637" s="837">
        <f>CEILING(48*$Z$1,0.1)</f>
        <v>62.400000000000006</v>
      </c>
      <c r="D637" s="838"/>
      <c r="E637" s="837">
        <f>CEILING(42*$Z$1,0.1)</f>
        <v>54.6</v>
      </c>
      <c r="F637" s="839"/>
      <c r="G637" s="842"/>
      <c r="H637" s="845"/>
      <c r="I637" s="845"/>
      <c r="J637" s="845"/>
      <c r="K637" s="502"/>
      <c r="L637" s="502"/>
      <c r="M637" s="214"/>
      <c r="N637" s="211"/>
    </row>
    <row r="638" spans="1:14" ht="15.75" customHeight="1">
      <c r="A638" s="445"/>
      <c r="B638" s="34" t="s">
        <v>746</v>
      </c>
      <c r="C638" s="840">
        <f>CEILING(58*$Z$1,0.1)</f>
        <v>75.4</v>
      </c>
      <c r="D638" s="844"/>
      <c r="E638" s="840">
        <f>CEILING(52*$Z$1,0.1)</f>
        <v>67.60000000000001</v>
      </c>
      <c r="F638" s="841"/>
      <c r="G638" s="842"/>
      <c r="H638" s="845"/>
      <c r="I638" s="845"/>
      <c r="J638" s="845"/>
      <c r="K638" s="505"/>
      <c r="L638" s="505"/>
      <c r="M638" s="214"/>
      <c r="N638" s="211"/>
    </row>
    <row r="639" spans="1:14" ht="15" customHeight="1">
      <c r="A639" s="33" t="s">
        <v>130</v>
      </c>
      <c r="B639" s="41" t="s">
        <v>744</v>
      </c>
      <c r="C639" s="840">
        <f>CEILING(34*$Z$1,0.1)</f>
        <v>44.2</v>
      </c>
      <c r="D639" s="841"/>
      <c r="E639" s="840">
        <f>CEILING(29*$Z$1,0.1)</f>
        <v>37.7</v>
      </c>
      <c r="F639" s="841"/>
      <c r="G639" s="842"/>
      <c r="H639" s="845"/>
      <c r="I639" s="845"/>
      <c r="J639" s="845"/>
      <c r="K639" s="505"/>
      <c r="L639" s="505"/>
      <c r="M639" s="214"/>
      <c r="N639" s="211"/>
    </row>
    <row r="640" spans="1:14" ht="15.75" customHeight="1">
      <c r="A640" s="33"/>
      <c r="B640" s="14" t="s">
        <v>123</v>
      </c>
      <c r="C640" s="842">
        <v>0</v>
      </c>
      <c r="D640" s="843"/>
      <c r="E640" s="842">
        <v>0</v>
      </c>
      <c r="F640" s="843"/>
      <c r="G640" s="842"/>
      <c r="H640" s="845"/>
      <c r="I640" s="845"/>
      <c r="J640" s="845"/>
      <c r="K640" s="505"/>
      <c r="L640" s="505"/>
      <c r="M640" s="214"/>
      <c r="N640" s="211"/>
    </row>
    <row r="641" spans="1:25" s="724" customFormat="1" ht="15.75" customHeight="1">
      <c r="A641" s="33"/>
      <c r="B641" s="757" t="s">
        <v>124</v>
      </c>
      <c r="C641" s="835">
        <f>CEILING((C637*0.5),0.1)</f>
        <v>31.200000000000003</v>
      </c>
      <c r="D641" s="836"/>
      <c r="E641" s="835">
        <f>CEILING((E637*0.5),0.1)</f>
        <v>27.3</v>
      </c>
      <c r="F641" s="836"/>
      <c r="G641" s="728"/>
      <c r="H641" s="729"/>
      <c r="I641" s="729"/>
      <c r="J641" s="729"/>
      <c r="K641" s="505"/>
      <c r="L641" s="505"/>
      <c r="M641" s="214"/>
      <c r="N641" s="211"/>
      <c r="O641" s="244"/>
      <c r="P641" s="244"/>
      <c r="Q641" s="244"/>
      <c r="R641" s="244"/>
      <c r="S641" s="244"/>
      <c r="T641" s="244"/>
      <c r="U641" s="244"/>
      <c r="V641" s="244"/>
      <c r="W641" s="244"/>
      <c r="X641" s="244"/>
      <c r="Y641" s="244"/>
    </row>
    <row r="642" spans="1:25" s="724" customFormat="1" ht="15.75" customHeight="1">
      <c r="A642" s="33"/>
      <c r="B642" s="167" t="s">
        <v>739</v>
      </c>
      <c r="C642" s="837">
        <f>CEILING(51*$Z$1,0.1)</f>
        <v>66.3</v>
      </c>
      <c r="D642" s="838"/>
      <c r="E642" s="837">
        <f>CEILING(45*$Z$1,0.1)</f>
        <v>58.5</v>
      </c>
      <c r="F642" s="839"/>
      <c r="G642" s="728"/>
      <c r="H642" s="729"/>
      <c r="I642" s="729"/>
      <c r="J642" s="729"/>
      <c r="K642" s="505"/>
      <c r="L642" s="505"/>
      <c r="M642" s="214"/>
      <c r="N642" s="211"/>
      <c r="O642" s="244"/>
      <c r="P642" s="244"/>
      <c r="Q642" s="244"/>
      <c r="R642" s="244"/>
      <c r="S642" s="244"/>
      <c r="T642" s="244"/>
      <c r="U642" s="244"/>
      <c r="V642" s="244"/>
      <c r="W642" s="244"/>
      <c r="X642" s="244"/>
      <c r="Y642" s="244"/>
    </row>
    <row r="643" spans="1:25" s="724" customFormat="1" ht="15.75" customHeight="1">
      <c r="A643" s="33"/>
      <c r="B643" s="34" t="s">
        <v>740</v>
      </c>
      <c r="C643" s="840">
        <f>CEILING(61*$Z$1,0.1)</f>
        <v>79.30000000000001</v>
      </c>
      <c r="D643" s="844"/>
      <c r="E643" s="840">
        <f>CEILING(55*$Z$1,0.1)</f>
        <v>71.5</v>
      </c>
      <c r="F643" s="841"/>
      <c r="G643" s="728"/>
      <c r="H643" s="729"/>
      <c r="I643" s="729"/>
      <c r="J643" s="729"/>
      <c r="K643" s="505"/>
      <c r="L643" s="505"/>
      <c r="M643" s="214"/>
      <c r="N643" s="211"/>
      <c r="O643" s="244"/>
      <c r="P643" s="244"/>
      <c r="Q643" s="244"/>
      <c r="R643" s="244"/>
      <c r="S643" s="244"/>
      <c r="T643" s="244"/>
      <c r="U643" s="244"/>
      <c r="V643" s="244"/>
      <c r="W643" s="244"/>
      <c r="X643" s="244"/>
      <c r="Y643" s="244"/>
    </row>
    <row r="644" spans="1:25" s="724" customFormat="1" ht="15.75" customHeight="1">
      <c r="A644" s="33"/>
      <c r="B644" s="41" t="s">
        <v>741</v>
      </c>
      <c r="C644" s="840">
        <f>CEILING(41*$Z$1,0.1)</f>
        <v>53.300000000000004</v>
      </c>
      <c r="D644" s="841"/>
      <c r="E644" s="840">
        <f>CEILING(36*$Z$1,0.1)</f>
        <v>46.800000000000004</v>
      </c>
      <c r="F644" s="841"/>
      <c r="G644" s="728"/>
      <c r="H644" s="729"/>
      <c r="I644" s="729"/>
      <c r="J644" s="729"/>
      <c r="K644" s="505"/>
      <c r="L644" s="505"/>
      <c r="M644" s="214"/>
      <c r="N644" s="211"/>
      <c r="O644" s="244"/>
      <c r="P644" s="244"/>
      <c r="Q644" s="244"/>
      <c r="R644" s="244"/>
      <c r="S644" s="244"/>
      <c r="T644" s="244"/>
      <c r="U644" s="244"/>
      <c r="V644" s="244"/>
      <c r="W644" s="244"/>
      <c r="X644" s="244"/>
      <c r="Y644" s="244"/>
    </row>
    <row r="645" spans="1:25" s="724" customFormat="1" ht="15.75" customHeight="1">
      <c r="A645" s="33"/>
      <c r="B645" s="14" t="s">
        <v>123</v>
      </c>
      <c r="C645" s="842">
        <v>0</v>
      </c>
      <c r="D645" s="843"/>
      <c r="E645" s="842">
        <v>0</v>
      </c>
      <c r="F645" s="843"/>
      <c r="G645" s="728"/>
      <c r="H645" s="729"/>
      <c r="I645" s="729"/>
      <c r="J645" s="729"/>
      <c r="K645" s="505"/>
      <c r="L645" s="505"/>
      <c r="M645" s="214"/>
      <c r="N645" s="211"/>
      <c r="O645" s="244"/>
      <c r="P645" s="244"/>
      <c r="Q645" s="244"/>
      <c r="R645" s="244"/>
      <c r="S645" s="244"/>
      <c r="T645" s="244"/>
      <c r="U645" s="244"/>
      <c r="V645" s="244"/>
      <c r="W645" s="244"/>
      <c r="X645" s="244"/>
      <c r="Y645" s="244"/>
    </row>
    <row r="646" spans="1:14" ht="15.75" thickBot="1">
      <c r="A646" s="105" t="s">
        <v>880</v>
      </c>
      <c r="B646" s="15" t="s">
        <v>124</v>
      </c>
      <c r="C646" s="846">
        <f>CEILING((C642*0.5),0.1)</f>
        <v>33.2</v>
      </c>
      <c r="D646" s="848"/>
      <c r="E646" s="846">
        <f>CEILING((E642*0.5),0.1)</f>
        <v>29.3</v>
      </c>
      <c r="F646" s="848"/>
      <c r="G646" s="842"/>
      <c r="H646" s="845"/>
      <c r="I646" s="845"/>
      <c r="J646" s="845"/>
      <c r="K646" s="505"/>
      <c r="L646" s="505"/>
      <c r="M646" s="214"/>
      <c r="N646" s="211"/>
    </row>
    <row r="647" spans="1:14" ht="15.75" thickTop="1">
      <c r="A647" s="634" t="s">
        <v>747</v>
      </c>
      <c r="B647" s="60"/>
      <c r="C647" s="637"/>
      <c r="D647" s="637"/>
      <c r="E647" s="637"/>
      <c r="F647" s="637"/>
      <c r="G647" s="637"/>
      <c r="H647" s="637"/>
      <c r="I647" s="637"/>
      <c r="J647" s="637"/>
      <c r="K647" s="505"/>
      <c r="L647" s="505"/>
      <c r="M647" s="18"/>
      <c r="N647" s="226"/>
    </row>
    <row r="648" spans="1:14" ht="17.25" customHeight="1" thickBot="1">
      <c r="A648" s="699"/>
      <c r="B648" s="62"/>
      <c r="C648" s="698"/>
      <c r="D648" s="698"/>
      <c r="E648" s="698"/>
      <c r="F648" s="697"/>
      <c r="G648" s="697"/>
      <c r="H648" s="697"/>
      <c r="I648" s="697"/>
      <c r="J648" s="697"/>
      <c r="K648" s="505"/>
      <c r="L648" s="505"/>
      <c r="M648" s="18"/>
      <c r="N648" s="226"/>
    </row>
    <row r="649" spans="1:14" ht="23.25" customHeight="1" thickTop="1">
      <c r="A649" s="64" t="s">
        <v>74</v>
      </c>
      <c r="B649" s="650" t="s">
        <v>146</v>
      </c>
      <c r="C649" s="870" t="s">
        <v>735</v>
      </c>
      <c r="D649" s="871"/>
      <c r="E649" s="854" t="s">
        <v>736</v>
      </c>
      <c r="F649" s="930"/>
      <c r="G649" s="1058"/>
      <c r="H649" s="1059"/>
      <c r="I649" s="1003"/>
      <c r="J649" s="1003"/>
      <c r="K649" s="505"/>
      <c r="L649" s="505"/>
      <c r="M649" s="18"/>
      <c r="N649" s="226"/>
    </row>
    <row r="650" spans="1:14" ht="15">
      <c r="A650" s="103" t="s">
        <v>505</v>
      </c>
      <c r="B650" s="167" t="s">
        <v>742</v>
      </c>
      <c r="C650" s="837">
        <f>CEILING(48*$Z$1,0.1)</f>
        <v>62.400000000000006</v>
      </c>
      <c r="D650" s="838"/>
      <c r="E650" s="837">
        <f>CEILING(42*$Z$1,0.1)</f>
        <v>54.6</v>
      </c>
      <c r="F650" s="839"/>
      <c r="G650" s="842"/>
      <c r="H650" s="845"/>
      <c r="I650" s="845"/>
      <c r="J650" s="845"/>
      <c r="K650" s="505"/>
      <c r="L650" s="505"/>
      <c r="M650" s="18"/>
      <c r="N650" s="226"/>
    </row>
    <row r="651" spans="1:14" ht="15">
      <c r="A651" s="350" t="s">
        <v>250</v>
      </c>
      <c r="B651" s="34" t="s">
        <v>743</v>
      </c>
      <c r="C651" s="840">
        <f>CEILING(58*$Z$1,0.1)</f>
        <v>75.4</v>
      </c>
      <c r="D651" s="844"/>
      <c r="E651" s="840">
        <f>CEILING(52*$Z$1,0.1)</f>
        <v>67.60000000000001</v>
      </c>
      <c r="F651" s="841"/>
      <c r="G651" s="842"/>
      <c r="H651" s="845"/>
      <c r="I651" s="845"/>
      <c r="J651" s="845"/>
      <c r="K651" s="505"/>
      <c r="L651" s="505"/>
      <c r="M651" s="22"/>
      <c r="N651" s="226"/>
    </row>
    <row r="652" spans="1:14" ht="15">
      <c r="A652" s="33"/>
      <c r="B652" s="14" t="s">
        <v>123</v>
      </c>
      <c r="C652" s="842">
        <v>0</v>
      </c>
      <c r="D652" s="843"/>
      <c r="E652" s="842">
        <v>0</v>
      </c>
      <c r="F652" s="843"/>
      <c r="G652" s="842"/>
      <c r="H652" s="845"/>
      <c r="I652" s="845"/>
      <c r="J652" s="845"/>
      <c r="K652" s="505"/>
      <c r="L652" s="505"/>
      <c r="M652" s="22"/>
      <c r="N652" s="226"/>
    </row>
    <row r="653" spans="1:14" ht="15.75" thickBot="1">
      <c r="A653" s="105" t="s">
        <v>894</v>
      </c>
      <c r="B653" s="265" t="s">
        <v>124</v>
      </c>
      <c r="C653" s="846">
        <f>CEILING((C650*0.5),0.1)</f>
        <v>31.200000000000003</v>
      </c>
      <c r="D653" s="848"/>
      <c r="E653" s="846">
        <f>CEILING((E650*0.5),0.1)</f>
        <v>27.3</v>
      </c>
      <c r="F653" s="848"/>
      <c r="G653" s="842"/>
      <c r="H653" s="845"/>
      <c r="I653" s="845"/>
      <c r="J653" s="845"/>
      <c r="K653" s="505"/>
      <c r="L653" s="505"/>
      <c r="M653" s="22"/>
      <c r="N653" s="226"/>
    </row>
    <row r="654" spans="1:14" ht="15.75" thickTop="1">
      <c r="A654" s="634" t="s">
        <v>509</v>
      </c>
      <c r="B654" s="100"/>
      <c r="C654" s="637"/>
      <c r="D654" s="637"/>
      <c r="E654" s="637"/>
      <c r="F654" s="637"/>
      <c r="G654" s="637"/>
      <c r="H654" s="637"/>
      <c r="I654" s="637"/>
      <c r="J654" s="637"/>
      <c r="K654" s="505"/>
      <c r="L654" s="505"/>
      <c r="M654" s="22"/>
      <c r="N654" s="226"/>
    </row>
    <row r="655" spans="1:16" ht="16.5" customHeight="1">
      <c r="A655" s="1011"/>
      <c r="B655" s="1011"/>
      <c r="C655" s="1011"/>
      <c r="D655" s="1011"/>
      <c r="E655" s="1011"/>
      <c r="F655" s="1011"/>
      <c r="G655" s="1011"/>
      <c r="H655" s="1011"/>
      <c r="I655" s="3"/>
      <c r="J655" s="3"/>
      <c r="K655" s="505"/>
      <c r="L655" s="505"/>
      <c r="M655" s="244"/>
      <c r="N655" s="3"/>
      <c r="O655" s="3"/>
      <c r="P655" s="3"/>
    </row>
    <row r="656" spans="1:14" ht="15">
      <c r="A656" s="896" t="s">
        <v>958</v>
      </c>
      <c r="B656" s="896"/>
      <c r="C656" s="896"/>
      <c r="D656" s="896"/>
      <c r="E656" s="896"/>
      <c r="F656" s="896"/>
      <c r="G656" s="897"/>
      <c r="H656" s="897"/>
      <c r="I656" s="214"/>
      <c r="J656" s="214"/>
      <c r="K656" s="502"/>
      <c r="L656" s="502"/>
      <c r="M656" s="244"/>
      <c r="N656" s="3"/>
    </row>
    <row r="657" spans="1:14" ht="18.75" customHeight="1">
      <c r="A657" s="896" t="s">
        <v>959</v>
      </c>
      <c r="B657" s="896"/>
      <c r="C657" s="896"/>
      <c r="D657" s="896"/>
      <c r="E657" s="896"/>
      <c r="F657" s="896"/>
      <c r="G657" s="897"/>
      <c r="H657" s="897"/>
      <c r="I657" s="214"/>
      <c r="J657" s="214"/>
      <c r="K657" s="502"/>
      <c r="L657" s="502"/>
      <c r="M657" s="3"/>
      <c r="N657" s="3"/>
    </row>
    <row r="658" spans="1:14" ht="19.5" customHeight="1">
      <c r="A658" s="896" t="s">
        <v>960</v>
      </c>
      <c r="B658" s="897"/>
      <c r="C658" s="897"/>
      <c r="D658" s="897"/>
      <c r="E658" s="897"/>
      <c r="F658" s="897"/>
      <c r="G658" s="897"/>
      <c r="H658" s="897"/>
      <c r="I658" s="214"/>
      <c r="J658" s="214"/>
      <c r="K658" s="241"/>
      <c r="L658" s="241"/>
      <c r="M658" s="3"/>
      <c r="N658" s="3"/>
    </row>
    <row r="659" spans="1:14" ht="17.25" customHeight="1">
      <c r="A659" s="896" t="s">
        <v>961</v>
      </c>
      <c r="B659" s="896"/>
      <c r="C659" s="896"/>
      <c r="D659" s="896"/>
      <c r="E659" s="896"/>
      <c r="F659" s="896"/>
      <c r="G659" s="897"/>
      <c r="H659" s="897"/>
      <c r="I659" s="214"/>
      <c r="J659" s="214"/>
      <c r="K659" s="241"/>
      <c r="L659" s="241"/>
      <c r="M659" s="439"/>
      <c r="N659" s="439"/>
    </row>
    <row r="660" spans="1:17" ht="15">
      <c r="A660" s="219"/>
      <c r="B660" s="219"/>
      <c r="C660" s="219"/>
      <c r="D660" s="219"/>
      <c r="E660" s="219"/>
      <c r="F660" s="219"/>
      <c r="G660" s="220"/>
      <c r="H660" s="220"/>
      <c r="I660" s="214"/>
      <c r="J660" s="214"/>
      <c r="K660" s="241"/>
      <c r="L660" s="241"/>
      <c r="M660" s="17"/>
      <c r="N660" s="17"/>
      <c r="P660" s="439"/>
      <c r="Q660" s="439"/>
    </row>
    <row r="661" spans="1:17" ht="15">
      <c r="A661" s="1070" t="s">
        <v>405</v>
      </c>
      <c r="B661" s="1070"/>
      <c r="C661" s="1070"/>
      <c r="D661" s="1070"/>
      <c r="E661" s="1070"/>
      <c r="F661" s="1070"/>
      <c r="G661" s="1070"/>
      <c r="H661" s="1070"/>
      <c r="I661" s="35"/>
      <c r="J661" s="35"/>
      <c r="K661" s="241"/>
      <c r="L661" s="241"/>
      <c r="M661" s="3"/>
      <c r="N661" s="3"/>
      <c r="P661" s="3"/>
      <c r="Q661" s="3"/>
    </row>
    <row r="662" spans="1:17" ht="16.5" customHeight="1" thickBot="1">
      <c r="A662" s="1071"/>
      <c r="B662" s="1071"/>
      <c r="C662" s="1071"/>
      <c r="D662" s="1071"/>
      <c r="E662" s="1071"/>
      <c r="F662" s="1071"/>
      <c r="G662" s="1071"/>
      <c r="H662" s="1071"/>
      <c r="I662" s="35"/>
      <c r="J662" s="35"/>
      <c r="K662" s="534"/>
      <c r="L662" s="534"/>
      <c r="M662" s="3"/>
      <c r="N662" s="3"/>
      <c r="P662" s="3"/>
      <c r="Q662" s="3"/>
    </row>
    <row r="663" spans="1:17" ht="15.75" customHeight="1" thickTop="1">
      <c r="A663" s="949" t="s">
        <v>74</v>
      </c>
      <c r="B663" s="123"/>
      <c r="C663" s="863" t="s">
        <v>665</v>
      </c>
      <c r="D663" s="953"/>
      <c r="E663" s="852" t="s">
        <v>784</v>
      </c>
      <c r="F663" s="853"/>
      <c r="G663" s="915" t="s">
        <v>723</v>
      </c>
      <c r="H663" s="916"/>
      <c r="I663" s="488"/>
      <c r="J663" s="439"/>
      <c r="K663" s="534"/>
      <c r="L663" s="534"/>
      <c r="M663" s="3"/>
      <c r="N663" s="3"/>
      <c r="P663" s="3"/>
      <c r="Q663" s="3"/>
    </row>
    <row r="664" spans="1:17" ht="15">
      <c r="A664" s="950"/>
      <c r="B664" s="123"/>
      <c r="C664" s="124" t="s">
        <v>144</v>
      </c>
      <c r="D664" s="124" t="s">
        <v>146</v>
      </c>
      <c r="E664" s="124" t="s">
        <v>144</v>
      </c>
      <c r="F664" s="125" t="s">
        <v>146</v>
      </c>
      <c r="G664" s="124" t="s">
        <v>144</v>
      </c>
      <c r="H664" s="125" t="s">
        <v>146</v>
      </c>
      <c r="I664" s="16"/>
      <c r="J664" s="17"/>
      <c r="K664" s="535"/>
      <c r="L664" s="535"/>
      <c r="M664" s="18"/>
      <c r="N664" s="226"/>
      <c r="P664" s="3"/>
      <c r="Q664" s="3"/>
    </row>
    <row r="665" spans="1:17" ht="15">
      <c r="A665" s="103" t="s">
        <v>159</v>
      </c>
      <c r="B665" s="45" t="s">
        <v>82</v>
      </c>
      <c r="C665" s="744">
        <f>CEILING(70*$Z$1,0.1)</f>
        <v>91</v>
      </c>
      <c r="D665" s="744">
        <f>_xlfn.CEILING.MATH((C665+20*$Z$1),0.1)</f>
        <v>117</v>
      </c>
      <c r="E665" s="744">
        <f>CEILING(90*$Z$1,0.1)</f>
        <v>117</v>
      </c>
      <c r="F665" s="744">
        <f>_xlfn.CEILING.MATH((E665+20*$Z$1),0.1)</f>
        <v>143</v>
      </c>
      <c r="G665" s="744">
        <f>CEILING(70*$Z$1,0.1)</f>
        <v>91</v>
      </c>
      <c r="H665" s="744">
        <f>_xlfn.CEILING.MATH((G665+20*$Z$1),0.1)</f>
        <v>117</v>
      </c>
      <c r="I665" s="4"/>
      <c r="J665" s="3"/>
      <c r="K665" s="440"/>
      <c r="L665" s="440"/>
      <c r="M665" s="18"/>
      <c r="N665" s="226"/>
      <c r="P665" s="857"/>
      <c r="Q665" s="857"/>
    </row>
    <row r="666" spans="1:17" ht="17.25" customHeight="1">
      <c r="A666" s="350" t="s">
        <v>91</v>
      </c>
      <c r="B666" s="14" t="s">
        <v>83</v>
      </c>
      <c r="C666" s="744">
        <f>_xlfn.CEILING.MATH((C665+35*$Z$1),0.1)</f>
        <v>136.5</v>
      </c>
      <c r="D666" s="762">
        <f>_xlfn.CEILING.MATH((C666+20*$Z$1),0.1)</f>
        <v>162.5</v>
      </c>
      <c r="E666" s="744">
        <f>_xlfn.CEILING.MATH((E665+35*$Z$1),0.1)</f>
        <v>162.5</v>
      </c>
      <c r="F666" s="762">
        <f>_xlfn.CEILING.MATH((E666+20*$Z$1),0.1)</f>
        <v>188.5</v>
      </c>
      <c r="G666" s="744">
        <f>_xlfn.CEILING.MATH((G665+35*$Z$1),0.1)</f>
        <v>136.5</v>
      </c>
      <c r="H666" s="762">
        <f>_xlfn.CEILING.MATH((G666+20*$Z$1),0.1)</f>
        <v>162.5</v>
      </c>
      <c r="I666" s="4"/>
      <c r="J666" s="3"/>
      <c r="K666" s="440"/>
      <c r="L666" s="440"/>
      <c r="M666" s="18"/>
      <c r="N666" s="226"/>
      <c r="P666" s="845"/>
      <c r="Q666" s="845"/>
    </row>
    <row r="667" spans="1:17" ht="15" customHeight="1">
      <c r="A667" s="261"/>
      <c r="B667" s="14" t="s">
        <v>78</v>
      </c>
      <c r="C667" s="744">
        <f>CEILING((C665*0.85),0.1)</f>
        <v>77.4</v>
      </c>
      <c r="D667" s="762">
        <f>_xlfn.CEILING.MATH((C667+20*$Z$1),0.1)</f>
        <v>103.4</v>
      </c>
      <c r="E667" s="744">
        <f>CEILING((E665*0.85),0.1)</f>
        <v>99.5</v>
      </c>
      <c r="F667" s="762">
        <f>_xlfn.CEILING.MATH((E667+20*$Z$1),0.1)</f>
        <v>125.5</v>
      </c>
      <c r="G667" s="744">
        <f>CEILING((G665*0.85),0.1)</f>
        <v>77.4</v>
      </c>
      <c r="H667" s="762">
        <f>_xlfn.CEILING.MATH((G667+20*$Z$1),0.1)</f>
        <v>103.4</v>
      </c>
      <c r="I667" s="4"/>
      <c r="J667" s="3"/>
      <c r="K667" s="440"/>
      <c r="L667" s="440"/>
      <c r="M667" s="18"/>
      <c r="N667" s="226"/>
      <c r="P667" s="845"/>
      <c r="Q667" s="845"/>
    </row>
    <row r="668" spans="1:17" ht="15.75" thickBot="1">
      <c r="A668" s="369" t="s">
        <v>931</v>
      </c>
      <c r="B668" s="43" t="s">
        <v>160</v>
      </c>
      <c r="C668" s="751">
        <f aca="true" t="shared" si="0" ref="C668:H668">CEILING((C665*0.5),0.1)</f>
        <v>45.5</v>
      </c>
      <c r="D668" s="751">
        <f t="shared" si="0"/>
        <v>58.5</v>
      </c>
      <c r="E668" s="751">
        <f t="shared" si="0"/>
        <v>58.5</v>
      </c>
      <c r="F668" s="751">
        <f t="shared" si="0"/>
        <v>71.5</v>
      </c>
      <c r="G668" s="751">
        <f t="shared" si="0"/>
        <v>45.5</v>
      </c>
      <c r="H668" s="751">
        <f t="shared" si="0"/>
        <v>58.5</v>
      </c>
      <c r="I668" s="4"/>
      <c r="J668" s="3"/>
      <c r="K668" s="440"/>
      <c r="L668" s="440"/>
      <c r="M668" s="18"/>
      <c r="N668" s="226"/>
      <c r="P668" s="845"/>
      <c r="Q668" s="845"/>
    </row>
    <row r="669" spans="1:17" ht="15.75" thickTop="1">
      <c r="A669" s="144" t="s">
        <v>522</v>
      </c>
      <c r="B669" s="60"/>
      <c r="C669" s="3"/>
      <c r="D669" s="3"/>
      <c r="E669" s="3"/>
      <c r="F669" s="3"/>
      <c r="G669" s="3"/>
      <c r="H669" s="3"/>
      <c r="I669" s="3"/>
      <c r="J669" s="3"/>
      <c r="K669" s="241"/>
      <c r="L669" s="241"/>
      <c r="M669" s="18"/>
      <c r="N669" s="226"/>
      <c r="P669" s="845"/>
      <c r="Q669" s="845"/>
    </row>
    <row r="670" spans="1:17" ht="15.75" thickBot="1">
      <c r="A670" s="951"/>
      <c r="B670" s="951"/>
      <c r="C670" s="951"/>
      <c r="D670" s="951"/>
      <c r="E670" s="951"/>
      <c r="F670" s="951"/>
      <c r="G670" s="951"/>
      <c r="H670" s="951"/>
      <c r="I670" s="952"/>
      <c r="J670" s="952"/>
      <c r="K670" s="534"/>
      <c r="L670" s="534"/>
      <c r="M670" s="18"/>
      <c r="N670" s="226"/>
      <c r="P670" s="271"/>
      <c r="Q670" s="271"/>
    </row>
    <row r="671" spans="1:14" ht="15.75" customHeight="1" thickTop="1">
      <c r="A671" s="949" t="s">
        <v>74</v>
      </c>
      <c r="B671" s="123"/>
      <c r="C671" s="863" t="s">
        <v>665</v>
      </c>
      <c r="D671" s="953"/>
      <c r="E671" s="852" t="s">
        <v>784</v>
      </c>
      <c r="F671" s="853"/>
      <c r="G671" s="915" t="s">
        <v>723</v>
      </c>
      <c r="H671" s="916"/>
      <c r="I671" s="488"/>
      <c r="J671" s="439"/>
      <c r="K671" s="534"/>
      <c r="L671" s="534"/>
      <c r="M671" s="18"/>
      <c r="N671" s="226"/>
    </row>
    <row r="672" spans="1:15" ht="15">
      <c r="A672" s="950"/>
      <c r="B672" s="126"/>
      <c r="C672" s="124" t="s">
        <v>144</v>
      </c>
      <c r="D672" s="124" t="s">
        <v>146</v>
      </c>
      <c r="E672" s="124" t="s">
        <v>144</v>
      </c>
      <c r="F672" s="125" t="s">
        <v>146</v>
      </c>
      <c r="G672" s="124" t="s">
        <v>144</v>
      </c>
      <c r="H672" s="125" t="s">
        <v>146</v>
      </c>
      <c r="I672" s="16"/>
      <c r="J672" s="17"/>
      <c r="K672" s="535"/>
      <c r="L672" s="535"/>
      <c r="M672" s="18"/>
      <c r="N672" s="439"/>
      <c r="O672" s="439"/>
    </row>
    <row r="673" spans="1:15" ht="15">
      <c r="A673" s="103" t="s">
        <v>161</v>
      </c>
      <c r="B673" s="45" t="s">
        <v>82</v>
      </c>
      <c r="C673" s="744">
        <f>CEILING(70*$Z$1,0.1)</f>
        <v>91</v>
      </c>
      <c r="D673" s="744">
        <f>_xlfn.CEILING.MATH((C673+20*$Z$1),0.1)</f>
        <v>117</v>
      </c>
      <c r="E673" s="744">
        <f>CEILING(90*$Z$1,0.1)</f>
        <v>117</v>
      </c>
      <c r="F673" s="744">
        <f>_xlfn.CEILING.MATH((E673+20*$Z$1),0.1)</f>
        <v>143</v>
      </c>
      <c r="G673" s="744">
        <f>CEILING(70*$Z$1,0.1)</f>
        <v>91</v>
      </c>
      <c r="H673" s="744">
        <f>_xlfn.CEILING.MATH((G673+20*$Z$1),0.1)</f>
        <v>117</v>
      </c>
      <c r="I673" s="4"/>
      <c r="J673" s="3"/>
      <c r="K673" s="440"/>
      <c r="L673" s="440"/>
      <c r="M673" s="244"/>
      <c r="N673" s="17"/>
      <c r="O673" s="17"/>
    </row>
    <row r="674" spans="1:25" ht="14.25" customHeight="1">
      <c r="A674" s="350" t="s">
        <v>91</v>
      </c>
      <c r="B674" s="14" t="s">
        <v>83</v>
      </c>
      <c r="C674" s="744">
        <f>_xlfn.CEILING.MATH((C673+35*$Z$1),0.1)</f>
        <v>136.5</v>
      </c>
      <c r="D674" s="762">
        <f>_xlfn.CEILING.MATH((C674+20*$Z$1),0.1)</f>
        <v>162.5</v>
      </c>
      <c r="E674" s="744">
        <f>_xlfn.CEILING.MATH((E673+35*$Z$1),0.1)</f>
        <v>162.5</v>
      </c>
      <c r="F674" s="762">
        <f>_xlfn.CEILING.MATH((E674+20*$Z$1),0.1)</f>
        <v>188.5</v>
      </c>
      <c r="G674" s="744">
        <f>_xlfn.CEILING.MATH((G673+35*$Z$1),0.1)</f>
        <v>136.5</v>
      </c>
      <c r="H674" s="762">
        <f>_xlfn.CEILING.MATH((G674+20*$Z$1),0.1)</f>
        <v>162.5</v>
      </c>
      <c r="I674" s="4"/>
      <c r="J674" s="3"/>
      <c r="K674" s="440"/>
      <c r="L674" s="440"/>
      <c r="M674" s="244"/>
      <c r="N674" s="431"/>
      <c r="O674" s="431"/>
      <c r="R674"/>
      <c r="S674"/>
      <c r="T674"/>
      <c r="U674"/>
      <c r="V674"/>
      <c r="W674"/>
      <c r="X674"/>
      <c r="Y674"/>
    </row>
    <row r="675" spans="1:25" ht="15">
      <c r="A675" s="261"/>
      <c r="B675" s="14" t="s">
        <v>78</v>
      </c>
      <c r="C675" s="744">
        <f>CEILING((C673*0.85),0.1)</f>
        <v>77.4</v>
      </c>
      <c r="D675" s="762">
        <f>_xlfn.CEILING.MATH((C675+20*$Z$1),0.1)</f>
        <v>103.4</v>
      </c>
      <c r="E675" s="744">
        <f>CEILING((E673*0.85),0.1)</f>
        <v>99.5</v>
      </c>
      <c r="F675" s="762">
        <f>_xlfn.CEILING.MATH((E675+20*$Z$1),0.1)</f>
        <v>125.5</v>
      </c>
      <c r="G675" s="744">
        <f>CEILING((G673*0.85),0.1)</f>
        <v>77.4</v>
      </c>
      <c r="H675" s="762">
        <f>_xlfn.CEILING.MATH((G675+20*$Z$1),0.1)</f>
        <v>103.4</v>
      </c>
      <c r="I675" s="4"/>
      <c r="J675" s="3"/>
      <c r="K675" s="440"/>
      <c r="L675" s="440"/>
      <c r="M675" s="271"/>
      <c r="N675" s="431"/>
      <c r="O675" s="431"/>
      <c r="R675"/>
      <c r="S675"/>
      <c r="T675"/>
      <c r="U675"/>
      <c r="V675"/>
      <c r="W675"/>
      <c r="X675"/>
      <c r="Y675"/>
    </row>
    <row r="676" spans="1:25" ht="15.75" customHeight="1" thickBot="1">
      <c r="A676" s="369" t="s">
        <v>931</v>
      </c>
      <c r="B676" s="43" t="s">
        <v>160</v>
      </c>
      <c r="C676" s="751">
        <f aca="true" t="shared" si="1" ref="C676:H676">CEILING((C673*0.5),0.1)</f>
        <v>45.5</v>
      </c>
      <c r="D676" s="751">
        <f t="shared" si="1"/>
        <v>58.5</v>
      </c>
      <c r="E676" s="751">
        <f t="shared" si="1"/>
        <v>58.5</v>
      </c>
      <c r="F676" s="751">
        <f t="shared" si="1"/>
        <v>71.5</v>
      </c>
      <c r="G676" s="751">
        <f t="shared" si="1"/>
        <v>45.5</v>
      </c>
      <c r="H676" s="751">
        <f t="shared" si="1"/>
        <v>58.5</v>
      </c>
      <c r="I676" s="4"/>
      <c r="J676" s="3"/>
      <c r="K676" s="440"/>
      <c r="L676" s="440"/>
      <c r="M676" s="271"/>
      <c r="N676" s="431"/>
      <c r="O676" s="431"/>
      <c r="R676"/>
      <c r="S676"/>
      <c r="T676"/>
      <c r="U676"/>
      <c r="V676"/>
      <c r="W676"/>
      <c r="X676"/>
      <c r="Y676"/>
    </row>
    <row r="677" spans="1:25" ht="21.75" customHeight="1" thickBot="1" thickTop="1">
      <c r="A677" s="958"/>
      <c r="B677" s="958"/>
      <c r="C677" s="958"/>
      <c r="D677" s="958"/>
      <c r="E677" s="958"/>
      <c r="F677" s="958"/>
      <c r="G677" s="958"/>
      <c r="H677" s="958"/>
      <c r="I677" s="3"/>
      <c r="J677" s="3"/>
      <c r="K677" s="502"/>
      <c r="L677" s="502"/>
      <c r="M677" s="271"/>
      <c r="N677" s="431"/>
      <c r="O677" s="431"/>
      <c r="R677"/>
      <c r="S677"/>
      <c r="T677"/>
      <c r="U677"/>
      <c r="V677"/>
      <c r="W677"/>
      <c r="X677"/>
      <c r="Y677"/>
    </row>
    <row r="678" spans="1:14" ht="18.75" customHeight="1" thickTop="1">
      <c r="A678" s="79" t="s">
        <v>74</v>
      </c>
      <c r="B678" s="230" t="s">
        <v>148</v>
      </c>
      <c r="C678" s="870" t="s">
        <v>665</v>
      </c>
      <c r="D678" s="871"/>
      <c r="E678" s="852" t="s">
        <v>716</v>
      </c>
      <c r="F678" s="853"/>
      <c r="G678" s="854" t="s">
        <v>723</v>
      </c>
      <c r="H678" s="930"/>
      <c r="I678" s="954"/>
      <c r="J678" s="931"/>
      <c r="K678" s="531"/>
      <c r="L678" s="531"/>
      <c r="M678" s="18"/>
      <c r="N678" s="226"/>
    </row>
    <row r="679" spans="1:14" ht="15">
      <c r="A679" s="103" t="s">
        <v>162</v>
      </c>
      <c r="B679" s="167" t="s">
        <v>82</v>
      </c>
      <c r="C679" s="840">
        <f>CEILING(44*$Z$1,0.1)</f>
        <v>57.2</v>
      </c>
      <c r="D679" s="844"/>
      <c r="E679" s="840">
        <f>CEILING(56*$Z$1,0.1)</f>
        <v>72.8</v>
      </c>
      <c r="F679" s="844"/>
      <c r="G679" s="840">
        <f>CEILING(44*$Z$1,0.1)</f>
        <v>57.2</v>
      </c>
      <c r="H679" s="844"/>
      <c r="I679" s="1081"/>
      <c r="J679" s="1082"/>
      <c r="K679" s="440"/>
      <c r="L679" s="440"/>
      <c r="M679" s="18"/>
      <c r="N679" s="226"/>
    </row>
    <row r="680" spans="1:14" ht="15.75" customHeight="1">
      <c r="A680" s="81"/>
      <c r="B680" s="34" t="s">
        <v>83</v>
      </c>
      <c r="C680" s="840">
        <f>_xlfn.CEILING.MATH((C679+12*$Z$1),0.1)</f>
        <v>72.8</v>
      </c>
      <c r="D680" s="841"/>
      <c r="E680" s="840">
        <f>_xlfn.CEILING.MATH((E679+12*$Z$1),0.1)</f>
        <v>88.4</v>
      </c>
      <c r="F680" s="841"/>
      <c r="G680" s="840">
        <f>_xlfn.CEILING.MATH((G679+12*$Z$1),0.1)</f>
        <v>72.8</v>
      </c>
      <c r="H680" s="841"/>
      <c r="I680" s="842"/>
      <c r="J680" s="845"/>
      <c r="K680" s="440"/>
      <c r="L680" s="440"/>
      <c r="M680" s="18"/>
      <c r="N680" s="226"/>
    </row>
    <row r="681" spans="1:14" ht="16.5" customHeight="1">
      <c r="A681" s="33" t="s">
        <v>130</v>
      </c>
      <c r="B681" s="41" t="s">
        <v>78</v>
      </c>
      <c r="C681" s="840">
        <f>CEILING((C679*0.85),0.1)</f>
        <v>48.7</v>
      </c>
      <c r="D681" s="841"/>
      <c r="E681" s="840">
        <f>CEILING((E679*0.85),0.1)</f>
        <v>61.900000000000006</v>
      </c>
      <c r="F681" s="841"/>
      <c r="G681" s="840">
        <f>CEILING((G679*0.85),0.1)</f>
        <v>48.7</v>
      </c>
      <c r="H681" s="841"/>
      <c r="I681" s="842"/>
      <c r="J681" s="845"/>
      <c r="K681" s="440"/>
      <c r="L681" s="440"/>
      <c r="M681" s="30"/>
      <c r="N681" s="30"/>
    </row>
    <row r="682" spans="1:14" ht="17.25" customHeight="1" thickBot="1">
      <c r="A682" s="369" t="s">
        <v>931</v>
      </c>
      <c r="B682" s="43" t="s">
        <v>160</v>
      </c>
      <c r="C682" s="887">
        <v>0</v>
      </c>
      <c r="D682" s="913"/>
      <c r="E682" s="887">
        <v>0</v>
      </c>
      <c r="F682" s="913"/>
      <c r="G682" s="887">
        <v>0</v>
      </c>
      <c r="H682" s="913"/>
      <c r="I682" s="842"/>
      <c r="J682" s="845"/>
      <c r="K682" s="440"/>
      <c r="L682" s="440"/>
      <c r="M682" s="22"/>
      <c r="N682" s="22"/>
    </row>
    <row r="683" spans="1:14" ht="23.25" customHeight="1" thickBot="1" thickTop="1">
      <c r="A683" s="144"/>
      <c r="B683" s="169"/>
      <c r="C683" s="3"/>
      <c r="D683" s="3"/>
      <c r="E683" s="3"/>
      <c r="F683" s="3"/>
      <c r="G683" s="3"/>
      <c r="H683" s="3"/>
      <c r="I683" s="3"/>
      <c r="J683" s="3"/>
      <c r="K683" s="534"/>
      <c r="L683" s="534"/>
      <c r="M683" s="22"/>
      <c r="N683" s="22"/>
    </row>
    <row r="684" spans="1:14" ht="15.75" customHeight="1" thickTop="1">
      <c r="A684" s="959" t="s">
        <v>74</v>
      </c>
      <c r="B684" s="963"/>
      <c r="C684" s="863" t="s">
        <v>665</v>
      </c>
      <c r="D684" s="953"/>
      <c r="E684" s="852" t="s">
        <v>784</v>
      </c>
      <c r="F684" s="853"/>
      <c r="G684" s="915" t="s">
        <v>723</v>
      </c>
      <c r="H684" s="916"/>
      <c r="I684" s="954"/>
      <c r="J684" s="931"/>
      <c r="K684" s="534"/>
      <c r="L684" s="534"/>
      <c r="M684" s="581"/>
      <c r="N684" s="22"/>
    </row>
    <row r="685" spans="1:13" ht="15">
      <c r="A685" s="960"/>
      <c r="B685" s="964"/>
      <c r="C685" s="375" t="s">
        <v>144</v>
      </c>
      <c r="D685" s="375" t="s">
        <v>146</v>
      </c>
      <c r="E685" s="375" t="s">
        <v>144</v>
      </c>
      <c r="F685" s="375" t="s">
        <v>146</v>
      </c>
      <c r="G685" s="375" t="s">
        <v>144</v>
      </c>
      <c r="H685" s="655" t="s">
        <v>146</v>
      </c>
      <c r="I685" s="596"/>
      <c r="J685" s="593"/>
      <c r="K685" s="535"/>
      <c r="L685" s="535"/>
      <c r="M685" s="551"/>
    </row>
    <row r="686" spans="1:20" ht="18" customHeight="1">
      <c r="A686" s="103" t="s">
        <v>163</v>
      </c>
      <c r="B686" s="167" t="s">
        <v>82</v>
      </c>
      <c r="C686" s="752">
        <f>CEILING(40*$Z$1,0.1)</f>
        <v>52</v>
      </c>
      <c r="D686" s="752">
        <f>_xlfn.CEILING.MATH((C686+12*$Z$1),0.1)</f>
        <v>67.60000000000001</v>
      </c>
      <c r="E686" s="752">
        <f>CEILING(60*$Z$1,0.1)</f>
        <v>78</v>
      </c>
      <c r="F686" s="752">
        <f>_xlfn.CEILING.MATH((E686+12*$Z$1),0.1)</f>
        <v>93.60000000000001</v>
      </c>
      <c r="G686" s="752">
        <f>CEILING(40*$Z$1,0.1)</f>
        <v>52</v>
      </c>
      <c r="H686" s="752">
        <f>_xlfn.CEILING.MATH((G686+12*$Z$1),0.1)</f>
        <v>67.60000000000001</v>
      </c>
      <c r="I686" s="643"/>
      <c r="J686" s="644"/>
      <c r="K686" s="536"/>
      <c r="L686" s="536"/>
      <c r="M686" s="551"/>
      <c r="Q686" s="931"/>
      <c r="R686" s="931"/>
      <c r="S686" s="931"/>
      <c r="T686" s="931"/>
    </row>
    <row r="687" spans="1:20" ht="17.25" customHeight="1">
      <c r="A687" s="81"/>
      <c r="B687" s="34" t="s">
        <v>83</v>
      </c>
      <c r="C687" s="744">
        <f>_xlfn.CEILING.MATH((C686+20*$Z$1),0.1)</f>
        <v>78</v>
      </c>
      <c r="D687" s="762">
        <f>_xlfn.CEILING.MATH((C687+12*$Z$1),0.1)</f>
        <v>93.60000000000001</v>
      </c>
      <c r="E687" s="744">
        <f>_xlfn.CEILING.MATH((E686+20*$Z$1),0.1)</f>
        <v>104</v>
      </c>
      <c r="F687" s="762">
        <f>_xlfn.CEILING.MATH((E687+12*$Z$1),0.1)</f>
        <v>119.60000000000001</v>
      </c>
      <c r="G687" s="744">
        <f>_xlfn.CEILING.MATH((G686+20*$Z$1),0.1)</f>
        <v>78</v>
      </c>
      <c r="H687" s="762">
        <f>_xlfn.CEILING.MATH((G687+12*$Z$1),0.1)</f>
        <v>93.60000000000001</v>
      </c>
      <c r="I687" s="643"/>
      <c r="J687" s="644"/>
      <c r="K687" s="536"/>
      <c r="L687" s="536"/>
      <c r="M687" s="551"/>
      <c r="Q687" s="845"/>
      <c r="R687" s="845"/>
      <c r="S687" s="845"/>
      <c r="T687" s="845"/>
    </row>
    <row r="688" spans="1:20" ht="15" customHeight="1">
      <c r="A688" s="33" t="s">
        <v>130</v>
      </c>
      <c r="B688" s="167" t="s">
        <v>78</v>
      </c>
      <c r="C688" s="744">
        <f>CEILING((C686*0.85),0.1)</f>
        <v>44.2</v>
      </c>
      <c r="D688" s="762">
        <f>_xlfn.CEILING.MATH((C688+12*$Z$1),0.1)</f>
        <v>59.800000000000004</v>
      </c>
      <c r="E688" s="744">
        <f>CEILING((E686*0.85),0.1)</f>
        <v>66.3</v>
      </c>
      <c r="F688" s="762">
        <f>_xlfn.CEILING.MATH((E688+12*$Z$1),0.1)</f>
        <v>81.9</v>
      </c>
      <c r="G688" s="744">
        <f>CEILING((G686*0.85),0.1)</f>
        <v>44.2</v>
      </c>
      <c r="H688" s="762">
        <f>_xlfn.CEILING.MATH((G688+12*$Z$1),0.1)</f>
        <v>59.800000000000004</v>
      </c>
      <c r="I688" s="643"/>
      <c r="J688" s="644"/>
      <c r="K688" s="536"/>
      <c r="L688" s="536"/>
      <c r="M688" s="556"/>
      <c r="N688" s="271"/>
      <c r="Q688" s="845"/>
      <c r="R688" s="845"/>
      <c r="S688" s="845"/>
      <c r="T688" s="845"/>
    </row>
    <row r="689" spans="1:20" ht="15.75" thickBot="1">
      <c r="A689" s="369" t="s">
        <v>930</v>
      </c>
      <c r="B689" s="43" t="s">
        <v>160</v>
      </c>
      <c r="C689" s="751">
        <f aca="true" t="shared" si="2" ref="C689:H689">CEILING((C686*0.5),0.1)</f>
        <v>26</v>
      </c>
      <c r="D689" s="751">
        <f t="shared" si="2"/>
        <v>33.800000000000004</v>
      </c>
      <c r="E689" s="751">
        <f t="shared" si="2"/>
        <v>39</v>
      </c>
      <c r="F689" s="751">
        <f t="shared" si="2"/>
        <v>46.800000000000004</v>
      </c>
      <c r="G689" s="751">
        <f t="shared" si="2"/>
        <v>26</v>
      </c>
      <c r="H689" s="751">
        <f t="shared" si="2"/>
        <v>33.800000000000004</v>
      </c>
      <c r="I689" s="643"/>
      <c r="J689" s="644"/>
      <c r="K689" s="536"/>
      <c r="L689" s="536"/>
      <c r="M689" s="556"/>
      <c r="N689" s="271"/>
      <c r="Q689" s="845"/>
      <c r="R689" s="845"/>
      <c r="S689" s="845"/>
      <c r="T689" s="845"/>
    </row>
    <row r="690" spans="1:20" ht="15.75" thickTop="1">
      <c r="A690" s="955"/>
      <c r="B690" s="955"/>
      <c r="C690" s="955"/>
      <c r="D690" s="955"/>
      <c r="E690" s="955"/>
      <c r="F690" s="955"/>
      <c r="G690" s="955"/>
      <c r="H690" s="955"/>
      <c r="I690" s="3"/>
      <c r="J690" s="3"/>
      <c r="K690" s="128"/>
      <c r="L690" s="128"/>
      <c r="M690" s="556"/>
      <c r="N690" s="271"/>
      <c r="Q690" s="845"/>
      <c r="R690" s="845"/>
      <c r="S690" s="845"/>
      <c r="T690" s="845"/>
    </row>
    <row r="691" spans="1:20" ht="15">
      <c r="A691" s="896" t="s">
        <v>964</v>
      </c>
      <c r="B691" s="896"/>
      <c r="C691" s="896"/>
      <c r="D691" s="896"/>
      <c r="E691" s="896"/>
      <c r="F691" s="896"/>
      <c r="G691" s="896"/>
      <c r="H691" s="896"/>
      <c r="I691" s="691"/>
      <c r="J691" s="3"/>
      <c r="K691" s="128"/>
      <c r="L691" s="128"/>
      <c r="M691" s="556"/>
      <c r="N691" s="271"/>
      <c r="Q691" s="845"/>
      <c r="R691" s="845"/>
      <c r="S691" s="845"/>
      <c r="T691" s="845"/>
    </row>
    <row r="692" spans="1:20" ht="17.25" customHeight="1">
      <c r="A692" s="896" t="s">
        <v>963</v>
      </c>
      <c r="B692" s="896"/>
      <c r="C692" s="896"/>
      <c r="D692" s="896"/>
      <c r="E692" s="896"/>
      <c r="F692" s="896"/>
      <c r="G692" s="896"/>
      <c r="H692" s="896"/>
      <c r="I692" s="691"/>
      <c r="J692" s="3"/>
      <c r="K692" s="502"/>
      <c r="L692" s="128"/>
      <c r="M692" s="556"/>
      <c r="N692" s="271"/>
      <c r="Q692" s="845"/>
      <c r="R692" s="845"/>
      <c r="S692" s="845"/>
      <c r="T692" s="845"/>
    </row>
    <row r="693" spans="1:20" ht="16.5" customHeight="1">
      <c r="A693" s="896" t="s">
        <v>962</v>
      </c>
      <c r="B693" s="896"/>
      <c r="C693" s="896"/>
      <c r="D693" s="896"/>
      <c r="E693" s="896"/>
      <c r="F693" s="896"/>
      <c r="G693" s="896"/>
      <c r="H693" s="896"/>
      <c r="I693" s="961"/>
      <c r="J693" s="3"/>
      <c r="K693" s="502"/>
      <c r="L693" s="128"/>
      <c r="M693" s="556"/>
      <c r="N693" s="271"/>
      <c r="Q693" s="845"/>
      <c r="R693" s="845"/>
      <c r="S693" s="845"/>
      <c r="T693" s="845"/>
    </row>
    <row r="694" spans="1:20" ht="11.25" customHeight="1">
      <c r="A694" s="896"/>
      <c r="B694" s="896"/>
      <c r="C694" s="896"/>
      <c r="D694" s="896"/>
      <c r="E694" s="896"/>
      <c r="F694" s="896"/>
      <c r="G694" s="896"/>
      <c r="H694" s="896"/>
      <c r="I694" s="691"/>
      <c r="J694" s="3"/>
      <c r="K694" s="128"/>
      <c r="L694" s="128"/>
      <c r="M694" s="556"/>
      <c r="N694" s="271"/>
      <c r="Q694" s="845"/>
      <c r="R694" s="845"/>
      <c r="S694" s="845"/>
      <c r="T694" s="845"/>
    </row>
    <row r="695" spans="1:14" ht="15">
      <c r="A695" s="127"/>
      <c r="B695" s="35"/>
      <c r="C695" s="35"/>
      <c r="D695" s="35"/>
      <c r="E695" s="35"/>
      <c r="F695" s="35"/>
      <c r="G695" s="35"/>
      <c r="H695" s="35"/>
      <c r="I695" s="35"/>
      <c r="J695" s="35"/>
      <c r="K695" s="128"/>
      <c r="L695" s="128"/>
      <c r="M695" s="556"/>
      <c r="N695" s="271"/>
    </row>
    <row r="696" spans="1:14" ht="20.25">
      <c r="A696" s="895" t="s">
        <v>164</v>
      </c>
      <c r="B696" s="895"/>
      <c r="C696" s="895"/>
      <c r="D696" s="895"/>
      <c r="E696" s="895"/>
      <c r="F696" s="895"/>
      <c r="G696" s="895"/>
      <c r="H696" s="895"/>
      <c r="I696" s="895"/>
      <c r="J696" s="895"/>
      <c r="K696" s="895"/>
      <c r="L696" s="895"/>
      <c r="M696" s="895"/>
      <c r="N696" s="895"/>
    </row>
    <row r="697" spans="1:19" ht="23.25" customHeight="1">
      <c r="A697" s="962" t="s">
        <v>165</v>
      </c>
      <c r="B697" s="962"/>
      <c r="C697" s="962"/>
      <c r="D697" s="962"/>
      <c r="E697" s="962"/>
      <c r="F697" s="962"/>
      <c r="G697" s="962"/>
      <c r="H697" s="962"/>
      <c r="I697" s="128"/>
      <c r="J697" s="128"/>
      <c r="K697" s="128"/>
      <c r="L697" s="128"/>
      <c r="M697" s="931"/>
      <c r="N697" s="931"/>
      <c r="P697" s="931"/>
      <c r="Q697" s="931"/>
      <c r="R697" s="931"/>
      <c r="S697" s="931"/>
    </row>
    <row r="698" spans="1:19" ht="15" customHeight="1" thickBot="1">
      <c r="A698" s="475"/>
      <c r="B698" s="475"/>
      <c r="C698" s="475"/>
      <c r="D698" s="475"/>
      <c r="E698" s="475"/>
      <c r="F698" s="475"/>
      <c r="G698" s="475"/>
      <c r="H698" s="475"/>
      <c r="I698" s="476"/>
      <c r="J698" s="476"/>
      <c r="K698" s="490"/>
      <c r="L698" s="490"/>
      <c r="M698" s="931"/>
      <c r="N698" s="931"/>
      <c r="P698" s="845"/>
      <c r="Q698" s="845"/>
      <c r="R698" s="845"/>
      <c r="S698" s="845"/>
    </row>
    <row r="699" spans="1:19" ht="22.5" customHeight="1" thickTop="1">
      <c r="A699" s="93" t="s">
        <v>74</v>
      </c>
      <c r="B699" s="93"/>
      <c r="C699" s="420" t="s">
        <v>617</v>
      </c>
      <c r="D699" s="421"/>
      <c r="E699" s="422" t="s">
        <v>618</v>
      </c>
      <c r="F699" s="423"/>
      <c r="G699" s="422" t="s">
        <v>600</v>
      </c>
      <c r="H699" s="423"/>
      <c r="I699" s="422" t="s">
        <v>601</v>
      </c>
      <c r="J699" s="423"/>
      <c r="K699" s="422" t="s">
        <v>602</v>
      </c>
      <c r="L699" s="423"/>
      <c r="M699" s="422" t="s">
        <v>603</v>
      </c>
      <c r="N699" s="599"/>
      <c r="O699" s="625"/>
      <c r="P699" s="845"/>
      <c r="Q699" s="845"/>
      <c r="R699" s="845"/>
      <c r="S699" s="845"/>
    </row>
    <row r="700" spans="1:19" ht="15">
      <c r="A700" s="339" t="s">
        <v>166</v>
      </c>
      <c r="B700" s="45" t="s">
        <v>82</v>
      </c>
      <c r="C700" s="840">
        <f>CEILING(80*$Z$1,0.1)</f>
        <v>104</v>
      </c>
      <c r="D700" s="844"/>
      <c r="E700" s="840">
        <f>CEILING(90*$Z$1,0.1)</f>
        <v>117</v>
      </c>
      <c r="F700" s="844"/>
      <c r="G700" s="840">
        <f>CEILING(115*$Z$1,0.1)</f>
        <v>149.5</v>
      </c>
      <c r="H700" s="844"/>
      <c r="I700" s="840">
        <f>CEILING(100*$Z$1,0.1)</f>
        <v>130</v>
      </c>
      <c r="J700" s="844"/>
      <c r="K700" s="840">
        <f>CEILING(105*$Z$1,0.1)</f>
        <v>136.5</v>
      </c>
      <c r="L700" s="844"/>
      <c r="M700" s="840">
        <f>CEILING(90*$Z$1,0.1)</f>
        <v>117</v>
      </c>
      <c r="N700" s="844"/>
      <c r="O700" s="625"/>
      <c r="P700" s="845"/>
      <c r="Q700" s="845"/>
      <c r="R700" s="845"/>
      <c r="S700" s="845"/>
    </row>
    <row r="701" spans="1:19" ht="15">
      <c r="A701" s="262" t="s">
        <v>91</v>
      </c>
      <c r="B701" s="14" t="s">
        <v>83</v>
      </c>
      <c r="C701" s="840">
        <f>_xlfn.CEILING.MATH((C700+55*$Z$1),0.1)</f>
        <v>175.5</v>
      </c>
      <c r="D701" s="841"/>
      <c r="E701" s="840">
        <f>_xlfn.CEILING.MATH((E700+55*$Z$1),0.1)</f>
        <v>188.5</v>
      </c>
      <c r="F701" s="841"/>
      <c r="G701" s="840">
        <f>_xlfn.CEILING.MATH((G700+55*$Z$1),0.1)</f>
        <v>221</v>
      </c>
      <c r="H701" s="841"/>
      <c r="I701" s="840">
        <f>_xlfn.CEILING.MATH((I700+55*$Z$1),0.1)</f>
        <v>201.5</v>
      </c>
      <c r="J701" s="841"/>
      <c r="K701" s="840">
        <f>_xlfn.CEILING.MATH((K700+55*$Z$1),0.1)</f>
        <v>208</v>
      </c>
      <c r="L701" s="841"/>
      <c r="M701" s="840">
        <f>_xlfn.CEILING.MATH((M700+55*$Z$1),0.1)</f>
        <v>188.5</v>
      </c>
      <c r="N701" s="841"/>
      <c r="O701" s="625"/>
      <c r="P701" s="845"/>
      <c r="Q701" s="845"/>
      <c r="R701" s="845"/>
      <c r="S701" s="845"/>
    </row>
    <row r="702" spans="1:19" ht="15">
      <c r="A702" s="262"/>
      <c r="B702" s="14" t="s">
        <v>78</v>
      </c>
      <c r="C702" s="840">
        <f>CEILING((C700*0.85),0.1)</f>
        <v>88.4</v>
      </c>
      <c r="D702" s="841"/>
      <c r="E702" s="840">
        <f>CEILING((E700*0.85),0.1)</f>
        <v>99.5</v>
      </c>
      <c r="F702" s="841"/>
      <c r="G702" s="840">
        <f>CEILING((G700*0.85),0.1)</f>
        <v>127.10000000000001</v>
      </c>
      <c r="H702" s="841"/>
      <c r="I702" s="840">
        <f>CEILING((I700*0.85),0.1)</f>
        <v>110.5</v>
      </c>
      <c r="J702" s="841"/>
      <c r="K702" s="840">
        <f>CEILING((K700*0.85),0.1)</f>
        <v>116.10000000000001</v>
      </c>
      <c r="L702" s="841"/>
      <c r="M702" s="840">
        <f>CEILING((M700*0.85),0.1)</f>
        <v>99.5</v>
      </c>
      <c r="N702" s="844"/>
      <c r="O702" s="625"/>
      <c r="P702" s="845"/>
      <c r="Q702" s="845"/>
      <c r="R702" s="845"/>
      <c r="S702" s="845"/>
    </row>
    <row r="703" spans="1:19" ht="15">
      <c r="A703" s="262"/>
      <c r="B703" s="42" t="s">
        <v>107</v>
      </c>
      <c r="C703" s="840">
        <f>CEILING((C700*0.5),0.1)</f>
        <v>52</v>
      </c>
      <c r="D703" s="841"/>
      <c r="E703" s="840">
        <f>CEILING((E700*0.5),0.1)</f>
        <v>58.5</v>
      </c>
      <c r="F703" s="841"/>
      <c r="G703" s="840">
        <f>CEILING((G700*0.5),0.1)</f>
        <v>74.8</v>
      </c>
      <c r="H703" s="841"/>
      <c r="I703" s="840">
        <f>CEILING((I700*0.5),0.1)</f>
        <v>65</v>
      </c>
      <c r="J703" s="841"/>
      <c r="K703" s="840">
        <f>CEILING((K700*0.5),0.1)</f>
        <v>68.3</v>
      </c>
      <c r="L703" s="841"/>
      <c r="M703" s="840">
        <f>CEILING((M700*0.5),0.1)</f>
        <v>58.5</v>
      </c>
      <c r="N703" s="841"/>
      <c r="O703" s="625"/>
      <c r="P703" s="845"/>
      <c r="Q703" s="845"/>
      <c r="R703" s="845"/>
      <c r="S703" s="845"/>
    </row>
    <row r="704" spans="1:19" ht="15.75" customHeight="1">
      <c r="A704" s="262"/>
      <c r="B704" s="12" t="s">
        <v>384</v>
      </c>
      <c r="C704" s="840">
        <f>_xlfn.CEILING.MATH((C700+40*$Z$1),0.1)</f>
        <v>156</v>
      </c>
      <c r="D704" s="841"/>
      <c r="E704" s="840">
        <f>_xlfn.CEILING.MATH((E700+40*$Z$1),0.1)</f>
        <v>169</v>
      </c>
      <c r="F704" s="841"/>
      <c r="G704" s="840">
        <f>_xlfn.CEILING.MATH((G700+40*$Z$1),0.1)</f>
        <v>201.5</v>
      </c>
      <c r="H704" s="841"/>
      <c r="I704" s="840">
        <f>_xlfn.CEILING.MATH((I700+40*$Z$1),0.1)</f>
        <v>182</v>
      </c>
      <c r="J704" s="841"/>
      <c r="K704" s="840">
        <f>_xlfn.CEILING.MATH((K700+40*$Z$1),0.1)</f>
        <v>188.5</v>
      </c>
      <c r="L704" s="841"/>
      <c r="M704" s="840">
        <f>_xlfn.CEILING.MATH((M700+40*$Z$1),0.1)</f>
        <v>169</v>
      </c>
      <c r="N704" s="841"/>
      <c r="P704" s="845"/>
      <c r="Q704" s="845"/>
      <c r="R704" s="845"/>
      <c r="S704" s="845"/>
    </row>
    <row r="705" spans="1:19" ht="17.25" customHeight="1">
      <c r="A705" s="262"/>
      <c r="B705" s="12" t="s">
        <v>385</v>
      </c>
      <c r="C705" s="840">
        <f>_xlfn.CEILING.MATH((C704+55*$Z$1),0.1)</f>
        <v>227.5</v>
      </c>
      <c r="D705" s="841"/>
      <c r="E705" s="840">
        <f>_xlfn.CEILING.MATH((E704+55*$Z$1),0.1)</f>
        <v>240.5</v>
      </c>
      <c r="F705" s="841"/>
      <c r="G705" s="840">
        <f>_xlfn.CEILING.MATH((G704+55*$Z$1),0.1)</f>
        <v>273</v>
      </c>
      <c r="H705" s="841"/>
      <c r="I705" s="840">
        <f>_xlfn.CEILING.MATH((I704+55*$Z$1),0.1)</f>
        <v>253.5</v>
      </c>
      <c r="J705" s="841"/>
      <c r="K705" s="840">
        <f>_xlfn.CEILING.MATH((K704+55*$Z$1),0.1)</f>
        <v>260</v>
      </c>
      <c r="L705" s="841"/>
      <c r="M705" s="840">
        <f>_xlfn.CEILING.MATH((M704+55*$Z$1),0.1)</f>
        <v>240.5</v>
      </c>
      <c r="N705" s="841"/>
      <c r="P705" s="845"/>
      <c r="Q705" s="845"/>
      <c r="R705" s="845"/>
      <c r="S705" s="845"/>
    </row>
    <row r="706" spans="1:19" ht="15">
      <c r="A706" s="23"/>
      <c r="B706" s="34" t="s">
        <v>104</v>
      </c>
      <c r="C706" s="840">
        <f>_xlfn.CEILING.MATH((C700+50*$Z$1),0.1)</f>
        <v>169</v>
      </c>
      <c r="D706" s="841"/>
      <c r="E706" s="840">
        <f>_xlfn.CEILING.MATH((E700+50*$Z$1),0.1)</f>
        <v>182</v>
      </c>
      <c r="F706" s="841"/>
      <c r="G706" s="840">
        <f>_xlfn.CEILING.MATH((G700+50*$Z$1),0.1)</f>
        <v>214.5</v>
      </c>
      <c r="H706" s="841"/>
      <c r="I706" s="840">
        <f>_xlfn.CEILING.MATH((I700+50*$Z$1),0.1)</f>
        <v>195</v>
      </c>
      <c r="J706" s="841"/>
      <c r="K706" s="840">
        <f>_xlfn.CEILING.MATH((K700+50*$Z$1),0.1)</f>
        <v>201.5</v>
      </c>
      <c r="L706" s="841"/>
      <c r="M706" s="840">
        <f>_xlfn.CEILING.MATH((M700+50*$Z$1),0.1)</f>
        <v>182</v>
      </c>
      <c r="N706" s="841"/>
      <c r="P706" s="845"/>
      <c r="Q706" s="845"/>
      <c r="R706" s="845"/>
      <c r="S706" s="845"/>
    </row>
    <row r="707" spans="1:19" ht="16.5" thickBot="1">
      <c r="A707" s="391" t="s">
        <v>907</v>
      </c>
      <c r="B707" s="264" t="s">
        <v>105</v>
      </c>
      <c r="C707" s="846">
        <f>_xlfn.CEILING.MATH((C706+60*$Z$1),0.1)</f>
        <v>247</v>
      </c>
      <c r="D707" s="848"/>
      <c r="E707" s="846">
        <f>_xlfn.CEILING.MATH((E706+60*$Z$1),0.1)</f>
        <v>260</v>
      </c>
      <c r="F707" s="848"/>
      <c r="G707" s="846">
        <f>_xlfn.CEILING.MATH((G706+60*$Z$1),0.1)</f>
        <v>292.5</v>
      </c>
      <c r="H707" s="848"/>
      <c r="I707" s="846">
        <f>_xlfn.CEILING.MATH((I706+60*$Z$1),0.1)</f>
        <v>273</v>
      </c>
      <c r="J707" s="848"/>
      <c r="K707" s="846">
        <f>_xlfn.CEILING.MATH((K706+60*$Z$1),0.1)</f>
        <v>279.5</v>
      </c>
      <c r="L707" s="848"/>
      <c r="M707" s="846">
        <f>_xlfn.CEILING.MATH((M706+60*$Z$1),0.1)</f>
        <v>260</v>
      </c>
      <c r="N707" s="848"/>
      <c r="P707" s="845"/>
      <c r="Q707" s="845"/>
      <c r="R707" s="845"/>
      <c r="S707" s="845"/>
    </row>
    <row r="708" spans="1:14" ht="15.75" thickTop="1">
      <c r="A708" s="834" t="s">
        <v>326</v>
      </c>
      <c r="B708" s="834"/>
      <c r="C708" s="834"/>
      <c r="D708" s="834"/>
      <c r="E708" s="834"/>
      <c r="F708" s="834"/>
      <c r="G708" s="834"/>
      <c r="H708" s="834"/>
      <c r="I708" s="834"/>
      <c r="J708" s="834"/>
      <c r="K708" s="502"/>
      <c r="L708" s="502"/>
      <c r="M708" s="18"/>
      <c r="N708" s="226"/>
    </row>
    <row r="709" spans="1:25" s="724" customFormat="1" ht="15">
      <c r="A709" s="248" t="s">
        <v>657</v>
      </c>
      <c r="B709" s="733"/>
      <c r="C709" s="733"/>
      <c r="D709" s="733"/>
      <c r="E709" s="733"/>
      <c r="F709" s="733"/>
      <c r="G709" s="733"/>
      <c r="H709" s="733"/>
      <c r="I709" s="733"/>
      <c r="J709" s="733"/>
      <c r="K709" s="502"/>
      <c r="L709" s="502"/>
      <c r="M709" s="18"/>
      <c r="N709" s="226"/>
      <c r="O709" s="244"/>
      <c r="P709" s="244"/>
      <c r="Q709" s="244"/>
      <c r="R709" s="244"/>
      <c r="S709" s="244"/>
      <c r="T709" s="244"/>
      <c r="U709" s="244"/>
      <c r="V709" s="244"/>
      <c r="W709" s="244"/>
      <c r="X709" s="244"/>
      <c r="Y709" s="244"/>
    </row>
    <row r="710" spans="1:25" ht="13.5" customHeight="1" thickBot="1">
      <c r="A710" s="129"/>
      <c r="B710" s="130"/>
      <c r="C710" s="130"/>
      <c r="D710" s="131"/>
      <c r="E710" s="131"/>
      <c r="F710" s="131"/>
      <c r="G710" s="131"/>
      <c r="H710" s="131"/>
      <c r="I710" s="131"/>
      <c r="J710" s="131"/>
      <c r="K710" s="490"/>
      <c r="L710" s="490"/>
      <c r="M710" s="244"/>
      <c r="X710"/>
      <c r="Y710"/>
    </row>
    <row r="711" spans="1:25" ht="26.25" customHeight="1" thickTop="1">
      <c r="A711" s="10" t="s">
        <v>74</v>
      </c>
      <c r="B711" s="102"/>
      <c r="C711" s="889" t="s">
        <v>665</v>
      </c>
      <c r="D711" s="890"/>
      <c r="E711" s="858" t="s">
        <v>716</v>
      </c>
      <c r="F711" s="859"/>
      <c r="G711" s="860" t="s">
        <v>721</v>
      </c>
      <c r="H711" s="861"/>
      <c r="I711" s="860" t="s">
        <v>668</v>
      </c>
      <c r="J711" s="862"/>
      <c r="K711" s="506"/>
      <c r="L711" s="513"/>
      <c r="M711" s="211"/>
      <c r="N711" s="211"/>
      <c r="X711"/>
      <c r="Y711"/>
    </row>
    <row r="712" spans="1:14" ht="15" customHeight="1">
      <c r="A712" s="132" t="s">
        <v>476</v>
      </c>
      <c r="B712" s="370" t="s">
        <v>99</v>
      </c>
      <c r="C712" s="840">
        <f>CEILING(48*$Z$1,0.1)</f>
        <v>62.400000000000006</v>
      </c>
      <c r="D712" s="844"/>
      <c r="E712" s="840">
        <f>CEILING(77*$Z$1,0.1)</f>
        <v>100.10000000000001</v>
      </c>
      <c r="F712" s="844"/>
      <c r="G712" s="840">
        <f>CEILING(64*$Z$1,0.1)</f>
        <v>83.2</v>
      </c>
      <c r="H712" s="844"/>
      <c r="I712" s="840">
        <f>CEILING(48*$Z$1,0.1)</f>
        <v>62.400000000000006</v>
      </c>
      <c r="J712" s="844"/>
      <c r="K712" s="506"/>
      <c r="L712" s="508"/>
      <c r="M712" s="18"/>
      <c r="N712" s="226"/>
    </row>
    <row r="713" spans="1:14" ht="17.25" customHeight="1">
      <c r="A713" s="33" t="s">
        <v>91</v>
      </c>
      <c r="B713" s="371" t="s">
        <v>83</v>
      </c>
      <c r="C713" s="840">
        <f>_xlfn.CEILING.MATH((C712+18*$Z$1),0.1)</f>
        <v>85.80000000000001</v>
      </c>
      <c r="D713" s="841"/>
      <c r="E713" s="840">
        <f>_xlfn.CEILING.MATH((E712+18*$Z$1),0.1)</f>
        <v>123.5</v>
      </c>
      <c r="F713" s="841"/>
      <c r="G713" s="840">
        <f>_xlfn.CEILING.MATH((G712+18*$Z$1),0.1)</f>
        <v>106.60000000000001</v>
      </c>
      <c r="H713" s="841"/>
      <c r="I713" s="840">
        <f>_xlfn.CEILING.MATH((I712+18*$Z$1),0.1)</f>
        <v>85.80000000000001</v>
      </c>
      <c r="J713" s="844"/>
      <c r="K713" s="506"/>
      <c r="L713" s="508"/>
      <c r="M713" s="18"/>
      <c r="N713" s="226"/>
    </row>
    <row r="714" spans="1:14" ht="17.25" customHeight="1">
      <c r="A714" s="87"/>
      <c r="B714" s="371" t="s">
        <v>351</v>
      </c>
      <c r="C714" s="840">
        <f>CEILING((C712*0.85),0.1)</f>
        <v>53.1</v>
      </c>
      <c r="D714" s="841"/>
      <c r="E714" s="840">
        <f>CEILING((E712*0.85),0.1)</f>
        <v>85.10000000000001</v>
      </c>
      <c r="F714" s="841"/>
      <c r="G714" s="840">
        <f>CEILING((G712*0.85),0.1)</f>
        <v>70.8</v>
      </c>
      <c r="H714" s="841"/>
      <c r="I714" s="840">
        <f>CEILING((I712*0.85),0.1)</f>
        <v>53.1</v>
      </c>
      <c r="J714" s="844"/>
      <c r="K714" s="657"/>
      <c r="L714" s="509"/>
      <c r="M714" s="18"/>
      <c r="N714" s="226"/>
    </row>
    <row r="715" spans="1:14" ht="15" customHeight="1">
      <c r="A715" s="87"/>
      <c r="B715" s="42" t="s">
        <v>107</v>
      </c>
      <c r="C715" s="840">
        <v>0</v>
      </c>
      <c r="D715" s="841"/>
      <c r="E715" s="840">
        <f>CEILING((E712*0.5),0.1)</f>
        <v>50.1</v>
      </c>
      <c r="F715" s="841"/>
      <c r="G715" s="840">
        <f>CEILING((G712*0.5),0.1)</f>
        <v>41.6</v>
      </c>
      <c r="H715" s="841"/>
      <c r="I715" s="840">
        <v>0</v>
      </c>
      <c r="J715" s="841"/>
      <c r="K715" s="509"/>
      <c r="L715" s="509"/>
      <c r="M715" s="18"/>
      <c r="N715" s="226"/>
    </row>
    <row r="716" spans="1:13" ht="15.75" customHeight="1">
      <c r="A716" s="87"/>
      <c r="B716" s="372" t="s">
        <v>84</v>
      </c>
      <c r="C716" s="840">
        <f>_xlfn.CEILING.MATH((C712+10*$Z$1),0.1)</f>
        <v>75.4</v>
      </c>
      <c r="D716" s="841"/>
      <c r="E716" s="840">
        <f>_xlfn.CEILING.MATH((E712+10*$Z$1),0.1)</f>
        <v>113.10000000000001</v>
      </c>
      <c r="F716" s="841"/>
      <c r="G716" s="840">
        <f>_xlfn.CEILING.MATH((G712+10*$Z$1),0.1)</f>
        <v>96.2</v>
      </c>
      <c r="H716" s="841"/>
      <c r="I716" s="840">
        <f>_xlfn.CEILING.MATH((I712+10*$Z$1),0.1)</f>
        <v>75.4</v>
      </c>
      <c r="J716" s="841"/>
      <c r="K716" s="509"/>
      <c r="L716" s="509"/>
      <c r="M716" s="244"/>
    </row>
    <row r="717" spans="1:13" ht="15">
      <c r="A717" s="87"/>
      <c r="B717" s="372" t="s">
        <v>85</v>
      </c>
      <c r="C717" s="840">
        <f>_xlfn.CEILING.MATH((C716+18*$Z$1),0.1)</f>
        <v>98.80000000000001</v>
      </c>
      <c r="D717" s="841"/>
      <c r="E717" s="840">
        <f>_xlfn.CEILING.MATH((E716+18*$Z$1),0.1)</f>
        <v>136.5</v>
      </c>
      <c r="F717" s="841"/>
      <c r="G717" s="840">
        <f>_xlfn.CEILING.MATH((G716+18*$Z$1),0.1)</f>
        <v>119.60000000000001</v>
      </c>
      <c r="H717" s="841"/>
      <c r="I717" s="840">
        <f>_xlfn.CEILING.MATH((I716+18*$Z$1),0.1)</f>
        <v>98.80000000000001</v>
      </c>
      <c r="J717" s="841"/>
      <c r="K717" s="509"/>
      <c r="L717" s="509"/>
      <c r="M717" s="244"/>
    </row>
    <row r="718" spans="1:13" ht="15">
      <c r="A718" s="87"/>
      <c r="B718" s="371" t="s">
        <v>94</v>
      </c>
      <c r="C718" s="840">
        <f>_xlfn.CEILING.MATH((C712+15*$Z$1),0.1)</f>
        <v>81.9</v>
      </c>
      <c r="D718" s="841"/>
      <c r="E718" s="840">
        <f>_xlfn.CEILING.MATH((E712+15*$Z$1),0.1)</f>
        <v>119.60000000000001</v>
      </c>
      <c r="F718" s="841"/>
      <c r="G718" s="840">
        <f>_xlfn.CEILING.MATH((G712+15*$Z$1),0.1)</f>
        <v>102.7</v>
      </c>
      <c r="H718" s="841"/>
      <c r="I718" s="840">
        <f>_xlfn.CEILING.MATH((I712+15*$Z$1),0.1)</f>
        <v>81.9</v>
      </c>
      <c r="J718" s="841"/>
      <c r="K718" s="509"/>
      <c r="L718" s="509"/>
      <c r="M718" s="244"/>
    </row>
    <row r="719" spans="1:13" ht="15.75" thickBot="1">
      <c r="A719" s="87"/>
      <c r="B719" s="373" t="s">
        <v>95</v>
      </c>
      <c r="C719" s="846">
        <f>_xlfn.CEILING.MATH((C718+18*$Z$1),0.1)</f>
        <v>105.30000000000001</v>
      </c>
      <c r="D719" s="848"/>
      <c r="E719" s="846">
        <f>_xlfn.CEILING.MATH((E718+18*$Z$1),0.1)</f>
        <v>143</v>
      </c>
      <c r="F719" s="848"/>
      <c r="G719" s="846">
        <f>_xlfn.CEILING.MATH((G718+18*$Z$1),0.1)</f>
        <v>126.10000000000001</v>
      </c>
      <c r="H719" s="848"/>
      <c r="I719" s="846">
        <f>_xlfn.CEILING.MATH((I718+18*$Z$1),0.1)</f>
        <v>105.30000000000001</v>
      </c>
      <c r="J719" s="848"/>
      <c r="K719" s="509"/>
      <c r="L719" s="509"/>
      <c r="M719" s="244"/>
    </row>
    <row r="720" spans="1:13" ht="15.75" thickTop="1">
      <c r="A720" s="87"/>
      <c r="B720" s="428" t="s">
        <v>267</v>
      </c>
      <c r="C720" s="840">
        <f>_xlfn.CEILING.MATH((C712+5*$Z$1),0.1)</f>
        <v>68.9</v>
      </c>
      <c r="D720" s="841"/>
      <c r="E720" s="840">
        <f>_xlfn.CEILING.MATH((E712+5*$Z$1),0.1)</f>
        <v>106.60000000000001</v>
      </c>
      <c r="F720" s="841"/>
      <c r="G720" s="840">
        <f>_xlfn.CEILING.MATH((G712+5*$Z$1),0.1)</f>
        <v>89.7</v>
      </c>
      <c r="H720" s="841"/>
      <c r="I720" s="840">
        <f>_xlfn.CEILING.MATH((I712+5*$Z$1),0.1)</f>
        <v>68.9</v>
      </c>
      <c r="J720" s="841"/>
      <c r="K720" s="509"/>
      <c r="L720" s="509"/>
      <c r="M720" s="244"/>
    </row>
    <row r="721" spans="1:13" ht="15">
      <c r="A721" s="87"/>
      <c r="B721" s="428" t="s">
        <v>268</v>
      </c>
      <c r="C721" s="840">
        <f>_xlfn.CEILING.MATH((C720+18*$Z$1),0.1)</f>
        <v>92.30000000000001</v>
      </c>
      <c r="D721" s="841"/>
      <c r="E721" s="840">
        <f>_xlfn.CEILING.MATH((E720+18*$Z$1),0.1)</f>
        <v>130</v>
      </c>
      <c r="F721" s="841"/>
      <c r="G721" s="840">
        <f>_xlfn.CEILING.MATH((G720+18*$Z$1),0.1)</f>
        <v>113.10000000000001</v>
      </c>
      <c r="H721" s="841"/>
      <c r="I721" s="840">
        <f>_xlfn.CEILING.MATH((I720+18*$Z$1),0.1)</f>
        <v>92.30000000000001</v>
      </c>
      <c r="J721" s="841"/>
      <c r="K721" s="509"/>
      <c r="L721" s="509"/>
      <c r="M721" s="244"/>
    </row>
    <row r="722" spans="1:13" ht="15">
      <c r="A722" s="87"/>
      <c r="B722" s="428" t="s">
        <v>479</v>
      </c>
      <c r="C722" s="840">
        <f>_xlfn.CEILING.MATH((C712+8*$Z$1),0.1)</f>
        <v>72.8</v>
      </c>
      <c r="D722" s="841"/>
      <c r="E722" s="840">
        <f>_xlfn.CEILING.MATH((E712+8*$Z$1),0.1)</f>
        <v>110.5</v>
      </c>
      <c r="F722" s="841"/>
      <c r="G722" s="840">
        <f>_xlfn.CEILING.MATH((G712+8*$Z$1),0.1)</f>
        <v>93.60000000000001</v>
      </c>
      <c r="H722" s="841"/>
      <c r="I722" s="840">
        <f>_xlfn.CEILING.MATH((I712+8*$Z$1),0.1)</f>
        <v>72.8</v>
      </c>
      <c r="J722" s="841"/>
      <c r="K722" s="509"/>
      <c r="L722" s="509"/>
      <c r="M722" s="244"/>
    </row>
    <row r="723" spans="1:13" ht="15.75" thickBot="1">
      <c r="A723" s="369" t="s">
        <v>929</v>
      </c>
      <c r="B723" s="429" t="s">
        <v>480</v>
      </c>
      <c r="C723" s="846">
        <f>_xlfn.CEILING.MATH((C722+18*$Z$1),0.1)</f>
        <v>96.2</v>
      </c>
      <c r="D723" s="848"/>
      <c r="E723" s="846">
        <f>_xlfn.CEILING.MATH((E722+18*$Z$1),0.1)</f>
        <v>133.9</v>
      </c>
      <c r="F723" s="848"/>
      <c r="G723" s="846">
        <f>_xlfn.CEILING.MATH((G722+18*$Z$1),0.1)</f>
        <v>117</v>
      </c>
      <c r="H723" s="848"/>
      <c r="I723" s="846">
        <f>_xlfn.CEILING.MATH((I722+18*$Z$1),0.1)</f>
        <v>96.2</v>
      </c>
      <c r="J723" s="848"/>
      <c r="K723" s="509"/>
      <c r="L723" s="509"/>
      <c r="M723" s="244"/>
    </row>
    <row r="724" spans="1:13" ht="15.75" thickTop="1">
      <c r="A724" s="1052" t="s">
        <v>766</v>
      </c>
      <c r="B724" s="1053"/>
      <c r="C724" s="1053"/>
      <c r="D724" s="1053"/>
      <c r="E724" s="1053"/>
      <c r="F724" s="1053"/>
      <c r="G724" s="1053"/>
      <c r="H724" s="1053"/>
      <c r="I724" s="133"/>
      <c r="J724" s="133"/>
      <c r="K724" s="509"/>
      <c r="L724" s="509"/>
      <c r="M724" s="244"/>
    </row>
    <row r="725" spans="1:13" ht="15">
      <c r="A725" s="63" t="s">
        <v>386</v>
      </c>
      <c r="B725" s="63"/>
      <c r="C725" s="63"/>
      <c r="D725" s="63"/>
      <c r="E725" s="63"/>
      <c r="F725" s="63"/>
      <c r="G725" s="63"/>
      <c r="H725" s="63"/>
      <c r="I725" s="133"/>
      <c r="J725" s="133"/>
      <c r="K725" s="509"/>
      <c r="L725" s="509"/>
      <c r="M725" s="244"/>
    </row>
    <row r="726" spans="1:13" ht="15.75" thickBot="1">
      <c r="A726" s="131"/>
      <c r="B726" s="131"/>
      <c r="C726" s="131"/>
      <c r="D726" s="131"/>
      <c r="E726" s="131"/>
      <c r="F726" s="131"/>
      <c r="G726" s="131"/>
      <c r="H726" s="131"/>
      <c r="I726" s="776"/>
      <c r="J726" s="776"/>
      <c r="K726" s="509"/>
      <c r="L726" s="509"/>
      <c r="M726" s="244"/>
    </row>
    <row r="727" spans="1:25" ht="22.5" customHeight="1" thickTop="1">
      <c r="A727" s="29" t="s">
        <v>74</v>
      </c>
      <c r="B727" s="93"/>
      <c r="C727" s="852" t="s">
        <v>665</v>
      </c>
      <c r="D727" s="853" t="s">
        <v>362</v>
      </c>
      <c r="E727" s="854" t="s">
        <v>716</v>
      </c>
      <c r="F727" s="930"/>
      <c r="G727" s="854" t="s">
        <v>721</v>
      </c>
      <c r="H727" s="930"/>
      <c r="I727" s="854" t="s">
        <v>668</v>
      </c>
      <c r="J727" s="855"/>
      <c r="K727" s="856"/>
      <c r="L727" s="857"/>
      <c r="M727" s="271"/>
      <c r="X727"/>
      <c r="Y727"/>
    </row>
    <row r="728" spans="1:25" ht="15">
      <c r="A728" s="132" t="s">
        <v>583</v>
      </c>
      <c r="B728" s="45" t="s">
        <v>82</v>
      </c>
      <c r="C728" s="840">
        <f>CEILING(63*$Z$1,0.1)</f>
        <v>81.9</v>
      </c>
      <c r="D728" s="844"/>
      <c r="E728" s="840">
        <f>CEILING(103*$Z$1,0.1)</f>
        <v>133.9</v>
      </c>
      <c r="F728" s="844"/>
      <c r="G728" s="840">
        <f>CEILING(84*$Z$1,0.1)</f>
        <v>109.2</v>
      </c>
      <c r="H728" s="844"/>
      <c r="I728" s="840">
        <f>CEILING(68*$Z$1,0.1)</f>
        <v>88.4</v>
      </c>
      <c r="J728" s="844"/>
      <c r="K728" s="840"/>
      <c r="L728" s="844"/>
      <c r="M728" s="271"/>
      <c r="X728"/>
      <c r="Y728"/>
    </row>
    <row r="729" spans="1:25" ht="15">
      <c r="A729" s="33" t="s">
        <v>91</v>
      </c>
      <c r="B729" s="14" t="s">
        <v>83</v>
      </c>
      <c r="C729" s="840">
        <f>_xlfn.CEILING.MATH((C728+25*$Z$1),0.1)</f>
        <v>114.4</v>
      </c>
      <c r="D729" s="841"/>
      <c r="E729" s="840">
        <f>_xlfn.CEILING.MATH((E728+25*$Z$1),0.1)</f>
        <v>166.4</v>
      </c>
      <c r="F729" s="841"/>
      <c r="G729" s="840">
        <f>_xlfn.CEILING.MATH((G728+25*$Z$1),0.1)</f>
        <v>141.70000000000002</v>
      </c>
      <c r="H729" s="841"/>
      <c r="I729" s="840">
        <f>_xlfn.CEILING.MATH((I728+25*$Z$1),0.1)</f>
        <v>120.9</v>
      </c>
      <c r="J729" s="841"/>
      <c r="K729" s="840"/>
      <c r="L729" s="844"/>
      <c r="M729" s="271"/>
      <c r="X729"/>
      <c r="Y729"/>
    </row>
    <row r="730" spans="1:25" ht="15" customHeight="1">
      <c r="A730" s="33"/>
      <c r="B730" s="14" t="s">
        <v>78</v>
      </c>
      <c r="C730" s="840">
        <f>CEILING((C728*0.85),0.1)</f>
        <v>69.7</v>
      </c>
      <c r="D730" s="841"/>
      <c r="E730" s="840">
        <f>CEILING((E728*0.85),0.1)</f>
        <v>113.9</v>
      </c>
      <c r="F730" s="841"/>
      <c r="G730" s="840">
        <f>CEILING((G728*0.85),0.1)</f>
        <v>92.9</v>
      </c>
      <c r="H730" s="841"/>
      <c r="I730" s="840">
        <f>CEILING((I728*0.85),0.1)</f>
        <v>75.2</v>
      </c>
      <c r="J730" s="841"/>
      <c r="K730" s="840"/>
      <c r="L730" s="844"/>
      <c r="M730" s="271"/>
      <c r="X730"/>
      <c r="Y730"/>
    </row>
    <row r="731" spans="1:25" ht="15" customHeight="1">
      <c r="A731" s="311"/>
      <c r="B731" s="42" t="s">
        <v>107</v>
      </c>
      <c r="C731" s="899">
        <v>0</v>
      </c>
      <c r="D731" s="900"/>
      <c r="E731" s="840">
        <v>0</v>
      </c>
      <c r="F731" s="841"/>
      <c r="G731" s="840">
        <v>0</v>
      </c>
      <c r="H731" s="841"/>
      <c r="I731" s="840">
        <v>0</v>
      </c>
      <c r="J731" s="844"/>
      <c r="K731" s="840"/>
      <c r="L731" s="844"/>
      <c r="M731" s="271"/>
      <c r="X731"/>
      <c r="Y731"/>
    </row>
    <row r="732" spans="1:25" ht="15.75" customHeight="1">
      <c r="A732" s="33"/>
      <c r="B732" s="12" t="s">
        <v>84</v>
      </c>
      <c r="C732" s="840">
        <f>_xlfn.CEILING.MATH((C728+10*$Z$1),0.1)</f>
        <v>94.9</v>
      </c>
      <c r="D732" s="841"/>
      <c r="E732" s="840">
        <f>_xlfn.CEILING.MATH((E728+10*$Z$1),0.1)</f>
        <v>146.9</v>
      </c>
      <c r="F732" s="841"/>
      <c r="G732" s="840">
        <f>_xlfn.CEILING.MATH((G728+10*$Z$1),0.1)</f>
        <v>122.2</v>
      </c>
      <c r="H732" s="841"/>
      <c r="I732" s="840">
        <f>_xlfn.CEILING.MATH((I728+10*$Z$1),0.1)</f>
        <v>101.4</v>
      </c>
      <c r="J732" s="841"/>
      <c r="K732" s="840"/>
      <c r="L732" s="844"/>
      <c r="M732" s="271"/>
      <c r="X732"/>
      <c r="Y732"/>
    </row>
    <row r="733" spans="1:25" ht="15.75" customHeight="1">
      <c r="A733" s="33"/>
      <c r="B733" s="12" t="s">
        <v>85</v>
      </c>
      <c r="C733" s="840">
        <f>_xlfn.CEILING.MATH((C732+25*$Z$1),0.1)</f>
        <v>127.4</v>
      </c>
      <c r="D733" s="841"/>
      <c r="E733" s="840">
        <f>_xlfn.CEILING.MATH((E732+25*$Z$1),0.1)</f>
        <v>179.4</v>
      </c>
      <c r="F733" s="841"/>
      <c r="G733" s="840">
        <f>_xlfn.CEILING.MATH((G732+25*$Z$1),0.1)</f>
        <v>154.70000000000002</v>
      </c>
      <c r="H733" s="841"/>
      <c r="I733" s="840">
        <f>_xlfn.CEILING.MATH((I732+25*$Z$1),0.1)</f>
        <v>133.9</v>
      </c>
      <c r="J733" s="841"/>
      <c r="K733" s="840"/>
      <c r="L733" s="844"/>
      <c r="M733" s="271"/>
      <c r="X733"/>
      <c r="Y733"/>
    </row>
    <row r="734" spans="1:25" ht="15.75" customHeight="1">
      <c r="A734" s="33"/>
      <c r="B734" s="34" t="s">
        <v>75</v>
      </c>
      <c r="C734" s="840">
        <f>_xlfn.CEILING.MATH((C728+30*$Z$1),0.1)</f>
        <v>120.9</v>
      </c>
      <c r="D734" s="841"/>
      <c r="E734" s="840">
        <f>_xlfn.CEILING.MATH((E728+30*$Z$1),0.1)</f>
        <v>172.9</v>
      </c>
      <c r="F734" s="841"/>
      <c r="G734" s="840">
        <f>_xlfn.CEILING.MATH((G728+30*$Z$1),0.1)</f>
        <v>148.20000000000002</v>
      </c>
      <c r="H734" s="841"/>
      <c r="I734" s="840">
        <f>_xlfn.CEILING.MATH((I728+30*$Z$1),0.1)</f>
        <v>127.4</v>
      </c>
      <c r="J734" s="841"/>
      <c r="K734" s="840"/>
      <c r="L734" s="844"/>
      <c r="M734" s="271"/>
      <c r="X734"/>
      <c r="Y734"/>
    </row>
    <row r="735" spans="1:25" ht="15.75" customHeight="1" thickBot="1">
      <c r="A735" s="104" t="s">
        <v>881</v>
      </c>
      <c r="B735" s="264" t="s">
        <v>77</v>
      </c>
      <c r="C735" s="846">
        <f>_xlfn.CEILING.MATH((C734+40*$Z$1),0.1)</f>
        <v>172.9</v>
      </c>
      <c r="D735" s="848"/>
      <c r="E735" s="846">
        <f>_xlfn.CEILING.MATH((E734+40*$Z$1),0.1)</f>
        <v>224.9</v>
      </c>
      <c r="F735" s="848"/>
      <c r="G735" s="846">
        <f>_xlfn.CEILING.MATH((G734+40*$Z$1),0.1)</f>
        <v>200.20000000000002</v>
      </c>
      <c r="H735" s="848"/>
      <c r="I735" s="846">
        <f>_xlfn.CEILING.MATH((I734+40*$Z$1),0.1)</f>
        <v>179.4</v>
      </c>
      <c r="J735" s="848"/>
      <c r="K735" s="840"/>
      <c r="L735" s="844"/>
      <c r="M735" s="271"/>
      <c r="X735"/>
      <c r="Y735"/>
    </row>
    <row r="736" spans="1:13" ht="22.5" customHeight="1" thickBot="1" thickTop="1">
      <c r="A736" s="712"/>
      <c r="B736" s="712"/>
      <c r="C736" s="712"/>
      <c r="D736" s="712"/>
      <c r="E736" s="712"/>
      <c r="F736" s="712"/>
      <c r="G736" s="63"/>
      <c r="H736" s="63"/>
      <c r="I736" s="133"/>
      <c r="J736" s="133"/>
      <c r="K736" s="509"/>
      <c r="L736" s="509"/>
      <c r="M736" s="244"/>
    </row>
    <row r="737" spans="1:25" ht="22.5" customHeight="1" thickTop="1">
      <c r="A737" s="29" t="s">
        <v>74</v>
      </c>
      <c r="B737" s="93"/>
      <c r="C737" s="852" t="s">
        <v>437</v>
      </c>
      <c r="D737" s="853" t="s">
        <v>362</v>
      </c>
      <c r="E737" s="854" t="s">
        <v>489</v>
      </c>
      <c r="F737" s="930"/>
      <c r="G737" s="854" t="s">
        <v>492</v>
      </c>
      <c r="H737" s="930"/>
      <c r="I737" s="854" t="s">
        <v>676</v>
      </c>
      <c r="J737" s="930"/>
      <c r="K737" s="852" t="s">
        <v>363</v>
      </c>
      <c r="L737" s="1104"/>
      <c r="M737" s="625"/>
      <c r="X737"/>
      <c r="Y737"/>
    </row>
    <row r="738" spans="1:25" ht="15">
      <c r="A738" s="132" t="s">
        <v>585</v>
      </c>
      <c r="B738" s="45" t="s">
        <v>82</v>
      </c>
      <c r="C738" s="840">
        <f>CEILING(40*$Z$1,0.1)</f>
        <v>52</v>
      </c>
      <c r="D738" s="844"/>
      <c r="E738" s="840">
        <f>CEILING(65*$Z$1,0.1)</f>
        <v>84.5</v>
      </c>
      <c r="F738" s="844"/>
      <c r="G738" s="840">
        <f>CEILING(45*$Z$1,0.1)</f>
        <v>58.5</v>
      </c>
      <c r="H738" s="844"/>
      <c r="I738" s="840">
        <f>CEILING(55*$Z$1,0.1)</f>
        <v>71.5</v>
      </c>
      <c r="J738" s="844"/>
      <c r="K738" s="840">
        <f>CEILING(45*$Z$1,0.1)</f>
        <v>58.5</v>
      </c>
      <c r="L738" s="844"/>
      <c r="M738" s="625"/>
      <c r="X738"/>
      <c r="Y738"/>
    </row>
    <row r="739" spans="1:25" ht="15">
      <c r="A739" s="33" t="s">
        <v>130</v>
      </c>
      <c r="B739" s="14" t="s">
        <v>83</v>
      </c>
      <c r="C739" s="840">
        <f>_xlfn.CEILING.MATH((C738+15*$Z$1),0.1)</f>
        <v>71.5</v>
      </c>
      <c r="D739" s="841"/>
      <c r="E739" s="840">
        <f>_xlfn.CEILING.MATH((E738+15*$Z$1),0.1)</f>
        <v>104</v>
      </c>
      <c r="F739" s="841"/>
      <c r="G739" s="840">
        <f>_xlfn.CEILING.MATH((G738+15*$Z$1),0.1)</f>
        <v>78</v>
      </c>
      <c r="H739" s="841"/>
      <c r="I739" s="840">
        <f>_xlfn.CEILING.MATH((I738+15*$Z$1),0.1)</f>
        <v>91</v>
      </c>
      <c r="J739" s="841"/>
      <c r="K739" s="840">
        <f>_xlfn.CEILING.MATH((K738+15*$Z$1),0.1)</f>
        <v>78</v>
      </c>
      <c r="L739" s="841"/>
      <c r="M739" s="625"/>
      <c r="X739"/>
      <c r="Y739"/>
    </row>
    <row r="740" spans="1:25" ht="15" customHeight="1">
      <c r="A740" s="33"/>
      <c r="B740" s="14" t="s">
        <v>78</v>
      </c>
      <c r="C740" s="840">
        <f>CEILING((C738*0.85),0.1)</f>
        <v>44.2</v>
      </c>
      <c r="D740" s="841"/>
      <c r="E740" s="840">
        <f>CEILING((E738*0.85),0.1)</f>
        <v>71.9</v>
      </c>
      <c r="F740" s="841"/>
      <c r="G740" s="840">
        <f>CEILING((G738*0.85),0.1)</f>
        <v>49.800000000000004</v>
      </c>
      <c r="H740" s="841"/>
      <c r="I740" s="840">
        <f>CEILING((I738*0.85),0.1)</f>
        <v>60.800000000000004</v>
      </c>
      <c r="J740" s="841"/>
      <c r="K740" s="840">
        <f>CEILING((K738*0.85),0.1)</f>
        <v>49.800000000000004</v>
      </c>
      <c r="L740" s="841"/>
      <c r="M740" s="625"/>
      <c r="X740"/>
      <c r="Y740"/>
    </row>
    <row r="741" spans="1:25" ht="15.75" customHeight="1">
      <c r="A741" s="33"/>
      <c r="B741" s="12" t="s">
        <v>102</v>
      </c>
      <c r="C741" s="840">
        <f>_xlfn.CEILING.MATH((C738+5*$Z$1),0.1)</f>
        <v>58.5</v>
      </c>
      <c r="D741" s="841"/>
      <c r="E741" s="840">
        <f>_xlfn.CEILING.MATH((E738+5*$Z$1),0.1)</f>
        <v>91</v>
      </c>
      <c r="F741" s="841"/>
      <c r="G741" s="840">
        <f>_xlfn.CEILING.MATH((G738+5*$Z$1),0.1)</f>
        <v>65</v>
      </c>
      <c r="H741" s="841"/>
      <c r="I741" s="840">
        <f>_xlfn.CEILING.MATH((I738+5*$Z$1),0.1)</f>
        <v>78</v>
      </c>
      <c r="J741" s="841"/>
      <c r="K741" s="840">
        <f>_xlfn.CEILING.MATH((K738+5*$Z$1),0.1)</f>
        <v>65</v>
      </c>
      <c r="L741" s="841"/>
      <c r="M741" s="625"/>
      <c r="X741"/>
      <c r="Y741"/>
    </row>
    <row r="742" spans="1:25" ht="14.25" customHeight="1">
      <c r="A742" s="33"/>
      <c r="B742" s="12" t="s">
        <v>103</v>
      </c>
      <c r="C742" s="840">
        <f>_xlfn.CEILING.MATH((C741+15*$Z$1),0.1)</f>
        <v>78</v>
      </c>
      <c r="D742" s="841"/>
      <c r="E742" s="840">
        <f>_xlfn.CEILING.MATH((E741+15*$Z$1),0.1)</f>
        <v>110.5</v>
      </c>
      <c r="F742" s="841"/>
      <c r="G742" s="840">
        <f>_xlfn.CEILING.MATH((G741+15*$Z$1),0.1)</f>
        <v>84.5</v>
      </c>
      <c r="H742" s="841"/>
      <c r="I742" s="840">
        <f>_xlfn.CEILING.MATH((I741+15*$Z$1),0.1)</f>
        <v>97.5</v>
      </c>
      <c r="J742" s="841"/>
      <c r="K742" s="840">
        <f>_xlfn.CEILING.MATH((K741+15*$Z$1),0.1)</f>
        <v>84.5</v>
      </c>
      <c r="L742" s="841"/>
      <c r="M742" s="625"/>
      <c r="X742"/>
      <c r="Y742"/>
    </row>
    <row r="743" spans="1:25" ht="15.75" customHeight="1">
      <c r="A743" s="33"/>
      <c r="B743" s="12" t="s">
        <v>267</v>
      </c>
      <c r="C743" s="840">
        <f>_xlfn.CEILING.MATH((C738+5*$Z$1),0.1)</f>
        <v>58.5</v>
      </c>
      <c r="D743" s="841"/>
      <c r="E743" s="840">
        <f>_xlfn.CEILING.MATH((E738+5*$Z$1),0.1)</f>
        <v>91</v>
      </c>
      <c r="F743" s="841"/>
      <c r="G743" s="840">
        <f>_xlfn.CEILING.MATH((G738+5*$Z$1),0.1)</f>
        <v>65</v>
      </c>
      <c r="H743" s="841"/>
      <c r="I743" s="840">
        <f>_xlfn.CEILING.MATH((I738+5*$Z$1),0.1)</f>
        <v>78</v>
      </c>
      <c r="J743" s="841"/>
      <c r="K743" s="840">
        <f>_xlfn.CEILING.MATH((K738+5*$Z$1),0.1)</f>
        <v>65</v>
      </c>
      <c r="L743" s="841"/>
      <c r="M743" s="625"/>
      <c r="X743"/>
      <c r="Y743"/>
    </row>
    <row r="744" spans="1:25" ht="15.75" customHeight="1">
      <c r="A744" s="33"/>
      <c r="B744" s="12" t="s">
        <v>268</v>
      </c>
      <c r="C744" s="840">
        <f>_xlfn.CEILING.MATH((C743+15*$Z$1),0.1)</f>
        <v>78</v>
      </c>
      <c r="D744" s="841"/>
      <c r="E744" s="840">
        <f>_xlfn.CEILING.MATH((E743+15*$Z$1),0.1)</f>
        <v>110.5</v>
      </c>
      <c r="F744" s="841"/>
      <c r="G744" s="840">
        <f>_xlfn.CEILING.MATH((G743+15*$Z$1),0.1)</f>
        <v>84.5</v>
      </c>
      <c r="H744" s="841"/>
      <c r="I744" s="840">
        <f>_xlfn.CEILING.MATH((I743+15*$Z$1),0.1)</f>
        <v>97.5</v>
      </c>
      <c r="J744" s="841"/>
      <c r="K744" s="840">
        <f>_xlfn.CEILING.MATH((K743+15*$Z$1),0.1)</f>
        <v>84.5</v>
      </c>
      <c r="L744" s="841"/>
      <c r="M744" s="625"/>
      <c r="X744"/>
      <c r="Y744"/>
    </row>
    <row r="745" spans="1:25" ht="15.75" customHeight="1">
      <c r="A745" s="33"/>
      <c r="B745" s="34" t="s">
        <v>479</v>
      </c>
      <c r="C745" s="840">
        <f>_xlfn.CEILING.MATH((C739+10*$Z$1),0.1)</f>
        <v>84.5</v>
      </c>
      <c r="D745" s="841"/>
      <c r="E745" s="840">
        <f>_xlfn.CEILING.MATH((E739+10*$Z$1),0.1)</f>
        <v>117</v>
      </c>
      <c r="F745" s="841"/>
      <c r="G745" s="840">
        <f>_xlfn.CEILING.MATH((G739+10*$Z$1),0.1)</f>
        <v>91</v>
      </c>
      <c r="H745" s="841"/>
      <c r="I745" s="840">
        <f>_xlfn.CEILING.MATH((I739+10*$Z$1),0.1)</f>
        <v>104</v>
      </c>
      <c r="J745" s="841"/>
      <c r="K745" s="840">
        <f>_xlfn.CEILING.MATH((K739+10*$Z$1),0.1)</f>
        <v>91</v>
      </c>
      <c r="L745" s="841"/>
      <c r="M745" s="625"/>
      <c r="X745"/>
      <c r="Y745"/>
    </row>
    <row r="746" spans="1:25" ht="15.75" customHeight="1" thickBot="1">
      <c r="A746" s="104" t="s">
        <v>928</v>
      </c>
      <c r="B746" s="264" t="s">
        <v>480</v>
      </c>
      <c r="C746" s="846">
        <f>_xlfn.CEILING.MATH((C745+15*$Z$1),0.1)</f>
        <v>104</v>
      </c>
      <c r="D746" s="848"/>
      <c r="E746" s="846">
        <f>_xlfn.CEILING.MATH((E745+15*$Z$1),0.1)</f>
        <v>136.5</v>
      </c>
      <c r="F746" s="848"/>
      <c r="G746" s="846">
        <f>_xlfn.CEILING.MATH((G745+15*$Z$1),0.1)</f>
        <v>110.5</v>
      </c>
      <c r="H746" s="848"/>
      <c r="I746" s="846">
        <f>_xlfn.CEILING.MATH((I745+15*$Z$1),0.1)</f>
        <v>123.5</v>
      </c>
      <c r="J746" s="848"/>
      <c r="K746" s="846">
        <f>_xlfn.CEILING.MATH((K745+15*$Z$1),0.1)</f>
        <v>110.5</v>
      </c>
      <c r="L746" s="848"/>
      <c r="M746" s="625"/>
      <c r="X746"/>
      <c r="Y746"/>
    </row>
    <row r="747" spans="1:25" ht="15.75" customHeight="1" thickTop="1">
      <c r="A747" s="1105" t="s">
        <v>584</v>
      </c>
      <c r="B747" s="1106"/>
      <c r="C747" s="1106"/>
      <c r="D747" s="1106"/>
      <c r="E747" s="1106"/>
      <c r="F747" s="1106"/>
      <c r="G747" s="1106"/>
      <c r="H747" s="1106"/>
      <c r="I747" s="1106"/>
      <c r="J747" s="1106"/>
      <c r="K747" s="440"/>
      <c r="L747" s="440"/>
      <c r="M747" s="244"/>
      <c r="X747"/>
      <c r="Y747"/>
    </row>
    <row r="748" spans="1:13" ht="15">
      <c r="A748" s="248"/>
      <c r="B748" s="63"/>
      <c r="C748" s="63"/>
      <c r="D748" s="63"/>
      <c r="E748" s="63"/>
      <c r="F748" s="63"/>
      <c r="G748" s="63"/>
      <c r="H748" s="63"/>
      <c r="I748" s="133"/>
      <c r="J748" s="133"/>
      <c r="K748" s="502"/>
      <c r="L748" s="502"/>
      <c r="M748" s="244"/>
    </row>
    <row r="749" spans="1:13" ht="18" customHeight="1">
      <c r="A749" s="608" t="s">
        <v>705</v>
      </c>
      <c r="B749" s="608"/>
      <c r="C749" s="608"/>
      <c r="D749" s="608"/>
      <c r="E749" s="608"/>
      <c r="F749" s="608"/>
      <c r="G749" s="608"/>
      <c r="H749" s="608"/>
      <c r="I749" s="211"/>
      <c r="J749" s="211"/>
      <c r="K749" s="502"/>
      <c r="L749" s="502"/>
      <c r="M749" s="244"/>
    </row>
    <row r="750" spans="1:14" ht="18" customHeight="1">
      <c r="A750" s="608" t="s">
        <v>706</v>
      </c>
      <c r="B750" s="608"/>
      <c r="C750" s="608"/>
      <c r="D750" s="608"/>
      <c r="E750" s="608"/>
      <c r="F750" s="608"/>
      <c r="G750" s="608"/>
      <c r="H750" s="608"/>
      <c r="I750" s="211"/>
      <c r="J750" s="211"/>
      <c r="K750" s="502"/>
      <c r="L750" s="502"/>
      <c r="M750" s="99"/>
      <c r="N750" s="99"/>
    </row>
    <row r="751" spans="1:14" ht="15">
      <c r="A751" s="135"/>
      <c r="B751" s="135"/>
      <c r="C751" s="135"/>
      <c r="D751" s="135"/>
      <c r="E751" s="135"/>
      <c r="F751" s="135"/>
      <c r="G751" s="135"/>
      <c r="H751" s="135"/>
      <c r="I751" s="134"/>
      <c r="J751" s="134"/>
      <c r="K751" s="128"/>
      <c r="L751" s="508"/>
      <c r="M751" s="99"/>
      <c r="N751" s="99"/>
    </row>
    <row r="752" spans="1:14" ht="15">
      <c r="A752" s="136"/>
      <c r="B752" s="136"/>
      <c r="C752" s="136"/>
      <c r="D752" s="136"/>
      <c r="E752" s="136"/>
      <c r="F752" s="136"/>
      <c r="G752" s="136"/>
      <c r="H752" s="136"/>
      <c r="I752" s="136"/>
      <c r="J752" s="136"/>
      <c r="K752" s="128"/>
      <c r="L752" s="508"/>
      <c r="M752" s="18"/>
      <c r="N752" s="18"/>
    </row>
    <row r="753" spans="1:14" ht="15.75">
      <c r="A753" s="1051" t="s">
        <v>167</v>
      </c>
      <c r="B753" s="1051"/>
      <c r="C753" s="1051"/>
      <c r="D753" s="1051"/>
      <c r="E753" s="1051"/>
      <c r="F753" s="1051"/>
      <c r="G753" s="1051"/>
      <c r="H753" s="1051"/>
      <c r="I753" s="1051"/>
      <c r="J753" s="1051"/>
      <c r="K753" s="128"/>
      <c r="L753" s="508"/>
      <c r="M753" s="18"/>
      <c r="N753" s="18"/>
    </row>
    <row r="754" spans="1:14" ht="16.5" thickBot="1">
      <c r="A754" s="137"/>
      <c r="B754" s="137"/>
      <c r="C754" s="137"/>
      <c r="D754" s="137"/>
      <c r="E754" s="137"/>
      <c r="F754" s="137"/>
      <c r="G754" s="137"/>
      <c r="H754" s="137"/>
      <c r="I754" s="137"/>
      <c r="J754" s="137"/>
      <c r="K754" s="128"/>
      <c r="L754" s="508"/>
      <c r="M754" s="18"/>
      <c r="N754" s="18"/>
    </row>
    <row r="755" spans="1:14" ht="25.5" customHeight="1" thickTop="1">
      <c r="A755" s="153" t="s">
        <v>74</v>
      </c>
      <c r="B755" s="65"/>
      <c r="C755" s="852" t="s">
        <v>665</v>
      </c>
      <c r="D755" s="853"/>
      <c r="E755" s="852" t="s">
        <v>716</v>
      </c>
      <c r="F755" s="853"/>
      <c r="G755" s="852" t="s">
        <v>710</v>
      </c>
      <c r="H755" s="853"/>
      <c r="I755" s="870" t="s">
        <v>676</v>
      </c>
      <c r="J755" s="871"/>
      <c r="K755" s="870" t="s">
        <v>668</v>
      </c>
      <c r="L755" s="912"/>
      <c r="M755" s="23"/>
      <c r="N755" s="18"/>
    </row>
    <row r="756" spans="1:14" ht="15">
      <c r="A756" s="359" t="s">
        <v>168</v>
      </c>
      <c r="B756" s="360" t="s">
        <v>169</v>
      </c>
      <c r="C756" s="840">
        <f>CEILING(99*$Z$1,0.1)</f>
        <v>128.70000000000002</v>
      </c>
      <c r="D756" s="844"/>
      <c r="E756" s="840">
        <f>CEILING(131*$Z$1,0.1)</f>
        <v>170.3</v>
      </c>
      <c r="F756" s="844"/>
      <c r="G756" s="840">
        <f>CEILING(111*$Z$1,0.1)</f>
        <v>144.3</v>
      </c>
      <c r="H756" s="844"/>
      <c r="I756" s="840">
        <f>CEILING(124*$Z$1,0.1)</f>
        <v>161.20000000000002</v>
      </c>
      <c r="J756" s="844"/>
      <c r="K756" s="840">
        <f>CEILING(99*$Z$1,0.1)</f>
        <v>128.70000000000002</v>
      </c>
      <c r="L756" s="844"/>
      <c r="M756" s="790"/>
      <c r="N756" s="211"/>
    </row>
    <row r="757" spans="1:14" ht="16.5" customHeight="1">
      <c r="A757" s="361" t="s">
        <v>76</v>
      </c>
      <c r="B757" s="333" t="s">
        <v>170</v>
      </c>
      <c r="C757" s="840">
        <f>_xlfn.CEILING.MATH((C756+40*$Z$1),0.1)</f>
        <v>180.70000000000002</v>
      </c>
      <c r="D757" s="841"/>
      <c r="E757" s="840">
        <f>_xlfn.CEILING.MATH((E756+40*$Z$1),0.1)</f>
        <v>222.3</v>
      </c>
      <c r="F757" s="841"/>
      <c r="G757" s="840">
        <f>_xlfn.CEILING.MATH((G756+40*$Z$1),0.1)</f>
        <v>196.3</v>
      </c>
      <c r="H757" s="841"/>
      <c r="I757" s="840">
        <f>_xlfn.CEILING.MATH((I756+40*$Z$1),0.1)</f>
        <v>213.20000000000002</v>
      </c>
      <c r="J757" s="841"/>
      <c r="K757" s="840">
        <f>_xlfn.CEILING.MATH((K756+40*$Z$1),0.1)</f>
        <v>180.70000000000002</v>
      </c>
      <c r="L757" s="844"/>
      <c r="M757" s="790"/>
      <c r="N757" s="211"/>
    </row>
    <row r="758" spans="1:14" ht="18" customHeight="1">
      <c r="A758" s="361"/>
      <c r="B758" s="333" t="s">
        <v>78</v>
      </c>
      <c r="C758" s="840">
        <f>CEILING((C756*0.85),0.1)</f>
        <v>109.4</v>
      </c>
      <c r="D758" s="841"/>
      <c r="E758" s="840">
        <f>CEILING((E756*0.85),0.1)</f>
        <v>144.8</v>
      </c>
      <c r="F758" s="841"/>
      <c r="G758" s="840">
        <f>CEILING((G756*0.85),0.1)</f>
        <v>122.7</v>
      </c>
      <c r="H758" s="841"/>
      <c r="I758" s="840">
        <f>CEILING((I756*0.85),0.1)</f>
        <v>137.1</v>
      </c>
      <c r="J758" s="841"/>
      <c r="K758" s="840">
        <f>CEILING((K756*0.85),0.1)</f>
        <v>109.4</v>
      </c>
      <c r="L758" s="844"/>
      <c r="M758" s="791"/>
      <c r="N758" s="211"/>
    </row>
    <row r="759" spans="1:14" ht="16.5" customHeight="1">
      <c r="A759" s="243"/>
      <c r="B759" s="363" t="s">
        <v>126</v>
      </c>
      <c r="C759" s="849">
        <v>0</v>
      </c>
      <c r="D759" s="850"/>
      <c r="E759" s="835">
        <f>CEILING((E756*0.5),0.1)</f>
        <v>85.2</v>
      </c>
      <c r="F759" s="836"/>
      <c r="G759" s="835">
        <f>CEILING((G756*0.5),0.1)</f>
        <v>72.2</v>
      </c>
      <c r="H759" s="836"/>
      <c r="I759" s="835">
        <f>CEILING((I756*0.5),0.1)</f>
        <v>80.60000000000001</v>
      </c>
      <c r="J759" s="836"/>
      <c r="K759" s="849">
        <v>0</v>
      </c>
      <c r="L759" s="911"/>
      <c r="M759" s="23"/>
      <c r="N759" s="18"/>
    </row>
    <row r="760" spans="1:14" ht="15">
      <c r="A760" s="362"/>
      <c r="B760" s="333" t="s">
        <v>171</v>
      </c>
      <c r="C760" s="840">
        <f>CEILING(112*$Z$1,0.1)</f>
        <v>145.6</v>
      </c>
      <c r="D760" s="844"/>
      <c r="E760" s="840">
        <f>CEILING(144*$Z$1,0.1)</f>
        <v>187.20000000000002</v>
      </c>
      <c r="F760" s="844"/>
      <c r="G760" s="840">
        <f>CEILING(124*$Z$1,0.1)</f>
        <v>161.20000000000002</v>
      </c>
      <c r="H760" s="844"/>
      <c r="I760" s="840">
        <f>CEILING(137*$Z$1,0.1)</f>
        <v>178.10000000000002</v>
      </c>
      <c r="J760" s="844"/>
      <c r="K760" s="840">
        <f>CEILING(112*$Z$1,0.1)</f>
        <v>145.6</v>
      </c>
      <c r="L760" s="844"/>
      <c r="M760" s="23"/>
      <c r="N760" s="226"/>
    </row>
    <row r="761" spans="1:14" ht="15">
      <c r="A761" s="362"/>
      <c r="B761" s="333" t="s">
        <v>172</v>
      </c>
      <c r="C761" s="840">
        <f>_xlfn.CEILING.MATH((C760+40*$Z$1),0.1)</f>
        <v>197.60000000000002</v>
      </c>
      <c r="D761" s="841"/>
      <c r="E761" s="840">
        <f>_xlfn.CEILING.MATH((E760+40*$Z$1),0.1)</f>
        <v>239.20000000000002</v>
      </c>
      <c r="F761" s="841"/>
      <c r="G761" s="840">
        <f>_xlfn.CEILING.MATH((G760+40*$Z$1),0.1)</f>
        <v>213.20000000000002</v>
      </c>
      <c r="H761" s="841"/>
      <c r="I761" s="840">
        <f>_xlfn.CEILING.MATH((I760+40*$Z$1),0.1)</f>
        <v>230.10000000000002</v>
      </c>
      <c r="J761" s="841"/>
      <c r="K761" s="840">
        <f>_xlfn.CEILING.MATH((K760+40*$Z$1),0.1)</f>
        <v>197.60000000000002</v>
      </c>
      <c r="L761" s="844"/>
      <c r="M761" s="23"/>
      <c r="N761" s="226"/>
    </row>
    <row r="762" spans="1:14" ht="15">
      <c r="A762" s="243"/>
      <c r="B762" s="363" t="s">
        <v>78</v>
      </c>
      <c r="C762" s="835">
        <f>CEILING((C760*0.85),0.1)</f>
        <v>123.80000000000001</v>
      </c>
      <c r="D762" s="836"/>
      <c r="E762" s="835">
        <f>CEILING((E760*0.85),0.1)</f>
        <v>159.20000000000002</v>
      </c>
      <c r="F762" s="836"/>
      <c r="G762" s="835">
        <f>CEILING((G760*0.85),0.1)</f>
        <v>137.1</v>
      </c>
      <c r="H762" s="836"/>
      <c r="I762" s="835">
        <f>CEILING((I760*0.85),0.1)</f>
        <v>151.4</v>
      </c>
      <c r="J762" s="836"/>
      <c r="K762" s="835">
        <f>CEILING((K760*0.85),0.1)</f>
        <v>123.80000000000001</v>
      </c>
      <c r="L762" s="903"/>
      <c r="M762" s="23"/>
      <c r="N762" s="226"/>
    </row>
    <row r="763" spans="1:14" ht="18" customHeight="1">
      <c r="A763" s="362"/>
      <c r="B763" s="333" t="s">
        <v>293</v>
      </c>
      <c r="C763" s="840">
        <f>CEILING(119*$Z$1,0.1)</f>
        <v>154.70000000000002</v>
      </c>
      <c r="D763" s="844"/>
      <c r="E763" s="840">
        <f>CEILING(151*$Z$1,0.1)</f>
        <v>196.3</v>
      </c>
      <c r="F763" s="844"/>
      <c r="G763" s="840">
        <f>CEILING(131*$Z$1,0.1)</f>
        <v>170.3</v>
      </c>
      <c r="H763" s="844"/>
      <c r="I763" s="840">
        <f>CEILING(144*$Z$1,0.1)</f>
        <v>187.20000000000002</v>
      </c>
      <c r="J763" s="844"/>
      <c r="K763" s="840">
        <f>CEILING(119*$Z$1,0.1)</f>
        <v>154.70000000000002</v>
      </c>
      <c r="L763" s="844"/>
      <c r="M763" s="23"/>
      <c r="N763" s="226"/>
    </row>
    <row r="764" spans="1:14" ht="18" customHeight="1">
      <c r="A764" s="362"/>
      <c r="B764" s="333" t="s">
        <v>294</v>
      </c>
      <c r="C764" s="840">
        <f>_xlfn.CEILING.MATH((C763+40*$Z$1),0.1)</f>
        <v>206.70000000000002</v>
      </c>
      <c r="D764" s="841"/>
      <c r="E764" s="840">
        <f>_xlfn.CEILING.MATH((E763+40*$Z$1),0.1)</f>
        <v>248.3</v>
      </c>
      <c r="F764" s="841"/>
      <c r="G764" s="840">
        <f>_xlfn.CEILING.MATH((G763+40*$Z$1),0.1)</f>
        <v>222.3</v>
      </c>
      <c r="H764" s="841"/>
      <c r="I764" s="840">
        <f>_xlfn.CEILING.MATH((I763+40*$Z$1),0.1)</f>
        <v>239.20000000000002</v>
      </c>
      <c r="J764" s="841"/>
      <c r="K764" s="840">
        <f>_xlfn.CEILING.MATH((K763+40*$Z$1),0.1)</f>
        <v>206.70000000000002</v>
      </c>
      <c r="L764" s="844"/>
      <c r="M764" s="23"/>
      <c r="N764" s="226"/>
    </row>
    <row r="765" spans="1:14" ht="15" customHeight="1">
      <c r="A765" s="362"/>
      <c r="B765" s="363" t="s">
        <v>78</v>
      </c>
      <c r="C765" s="835">
        <f>CEILING((C763*0.85),0.1)</f>
        <v>131.5</v>
      </c>
      <c r="D765" s="836"/>
      <c r="E765" s="835">
        <f>CEILING((E763*0.85),0.1)</f>
        <v>166.9</v>
      </c>
      <c r="F765" s="836"/>
      <c r="G765" s="835">
        <f>CEILING((G763*0.85),0.1)</f>
        <v>144.8</v>
      </c>
      <c r="H765" s="836"/>
      <c r="I765" s="835">
        <f>CEILING((I763*0.85),0.1)</f>
        <v>159.20000000000002</v>
      </c>
      <c r="J765" s="836"/>
      <c r="K765" s="835">
        <f>CEILING((K763*0.85),0.1)</f>
        <v>131.5</v>
      </c>
      <c r="L765" s="903"/>
      <c r="M765" s="23"/>
      <c r="N765" s="226"/>
    </row>
    <row r="766" spans="1:14" ht="16.5" customHeight="1">
      <c r="A766" s="362"/>
      <c r="B766" s="333" t="s">
        <v>354</v>
      </c>
      <c r="C766" s="840">
        <f>CEILING(160*$Z$1,0.1)</f>
        <v>208</v>
      </c>
      <c r="D766" s="844"/>
      <c r="E766" s="840">
        <f>CEILING(190*$Z$1,0.1)</f>
        <v>247</v>
      </c>
      <c r="F766" s="844"/>
      <c r="G766" s="840">
        <f>CEILING(170*$Z$1,0.1)</f>
        <v>221</v>
      </c>
      <c r="H766" s="844"/>
      <c r="I766" s="840">
        <f>CEILING(185*$Z$1,0.1)</f>
        <v>240.5</v>
      </c>
      <c r="J766" s="844"/>
      <c r="K766" s="840">
        <f>CEILING(160*$Z$1,0.1)</f>
        <v>208</v>
      </c>
      <c r="L766" s="844"/>
      <c r="M766" s="23"/>
      <c r="N766" s="226"/>
    </row>
    <row r="767" spans="1:14" ht="16.5" customHeight="1">
      <c r="A767" s="362"/>
      <c r="B767" s="333" t="s">
        <v>355</v>
      </c>
      <c r="C767" s="840">
        <f>_xlfn.CEILING.MATH((C766+40*$Z$1),0.1)</f>
        <v>260</v>
      </c>
      <c r="D767" s="841"/>
      <c r="E767" s="840">
        <f>_xlfn.CEILING.MATH((E766+40*$Z$1),0.1)</f>
        <v>299</v>
      </c>
      <c r="F767" s="841"/>
      <c r="G767" s="840">
        <f>_xlfn.CEILING.MATH((G766+40*$Z$1),0.1)</f>
        <v>273</v>
      </c>
      <c r="H767" s="841"/>
      <c r="I767" s="840">
        <f>_xlfn.CEILING.MATH((I766+40*$Z$1),0.1)</f>
        <v>292.5</v>
      </c>
      <c r="J767" s="841"/>
      <c r="K767" s="840">
        <f>_xlfn.CEILING.MATH((K766+40*$Z$1),0.1)</f>
        <v>260</v>
      </c>
      <c r="L767" s="844"/>
      <c r="M767" s="23"/>
      <c r="N767" s="226"/>
    </row>
    <row r="768" spans="1:14" ht="15">
      <c r="A768" s="362"/>
      <c r="B768" s="363" t="s">
        <v>78</v>
      </c>
      <c r="C768" s="835">
        <f>CEILING((C766*0.85),0.1)</f>
        <v>176.8</v>
      </c>
      <c r="D768" s="836"/>
      <c r="E768" s="835">
        <f>CEILING((E766*0.85),0.1)</f>
        <v>210</v>
      </c>
      <c r="F768" s="836"/>
      <c r="G768" s="835">
        <f>CEILING((G766*0.85),0.1)</f>
        <v>187.9</v>
      </c>
      <c r="H768" s="836"/>
      <c r="I768" s="835">
        <f>CEILING((I766*0.85),0.1)</f>
        <v>204.5</v>
      </c>
      <c r="J768" s="836"/>
      <c r="K768" s="835">
        <f>CEILING((K766*0.85),0.1)</f>
        <v>176.8</v>
      </c>
      <c r="L768" s="836"/>
      <c r="M768" s="23"/>
      <c r="N768" s="226"/>
    </row>
    <row r="769" spans="1:14" ht="16.5" customHeight="1">
      <c r="A769" s="362"/>
      <c r="B769" s="333" t="s">
        <v>353</v>
      </c>
      <c r="C769" s="840">
        <f>CEILING(160*$Z$1,0.1)</f>
        <v>208</v>
      </c>
      <c r="D769" s="844"/>
      <c r="E769" s="840">
        <f>CEILING(190*$Z$1,0.1)</f>
        <v>247</v>
      </c>
      <c r="F769" s="844"/>
      <c r="G769" s="840">
        <f>CEILING(170*$Z$1,0.1)</f>
        <v>221</v>
      </c>
      <c r="H769" s="844"/>
      <c r="I769" s="840">
        <f>CEILING(185*$Z$1,0.1)</f>
        <v>240.5</v>
      </c>
      <c r="J769" s="844"/>
      <c r="K769" s="840">
        <f>CEILING(160*$Z$1,0.1)</f>
        <v>208</v>
      </c>
      <c r="L769" s="844"/>
      <c r="M769" s="23"/>
      <c r="N769" s="226"/>
    </row>
    <row r="770" spans="1:14" ht="16.5" customHeight="1" thickBot="1">
      <c r="A770" s="268" t="s">
        <v>901</v>
      </c>
      <c r="B770" s="364" t="s">
        <v>356</v>
      </c>
      <c r="C770" s="846">
        <f>CEILING((C769*0.75),0.1)</f>
        <v>156</v>
      </c>
      <c r="D770" s="848"/>
      <c r="E770" s="846">
        <f>CEILING((E769*0.75),0.1)</f>
        <v>185.3</v>
      </c>
      <c r="F770" s="848"/>
      <c r="G770" s="846">
        <f>CEILING((G769*0.75),0.1)</f>
        <v>165.8</v>
      </c>
      <c r="H770" s="848"/>
      <c r="I770" s="846">
        <f>CEILING((I769*0.75),0.1)</f>
        <v>180.4</v>
      </c>
      <c r="J770" s="848"/>
      <c r="K770" s="846">
        <f>CEILING((K769*0.75),0.1)</f>
        <v>156</v>
      </c>
      <c r="L770" s="848"/>
      <c r="M770" s="18"/>
      <c r="N770" s="226"/>
    </row>
    <row r="771" spans="1:14" ht="15.75" thickTop="1">
      <c r="A771" s="1074" t="s">
        <v>807</v>
      </c>
      <c r="B771" s="1075"/>
      <c r="C771" s="1076"/>
      <c r="D771" s="1076"/>
      <c r="E771" s="1076"/>
      <c r="F771" s="1076"/>
      <c r="G771" s="1076"/>
      <c r="H771" s="1076"/>
      <c r="I771" s="1076"/>
      <c r="J771" s="1077"/>
      <c r="K771" s="509"/>
      <c r="L771" s="509"/>
      <c r="M771" s="18"/>
      <c r="N771" s="226"/>
    </row>
    <row r="772" spans="1:14" ht="15">
      <c r="A772" s="20" t="s">
        <v>406</v>
      </c>
      <c r="B772" s="35"/>
      <c r="C772" s="35"/>
      <c r="D772" s="35"/>
      <c r="E772" s="35"/>
      <c r="F772" s="35"/>
      <c r="G772" s="35"/>
      <c r="H772" s="35"/>
      <c r="I772" s="35"/>
      <c r="J772" s="35"/>
      <c r="L772" s="502"/>
      <c r="M772" s="18"/>
      <c r="N772" s="226"/>
    </row>
    <row r="773" spans="1:14" ht="15">
      <c r="A773" s="145" t="s">
        <v>352</v>
      </c>
      <c r="B773" s="145"/>
      <c r="C773" s="145"/>
      <c r="D773" s="145"/>
      <c r="E773" s="145"/>
      <c r="F773" s="145"/>
      <c r="G773" s="145"/>
      <c r="H773" s="145"/>
      <c r="I773" s="145"/>
      <c r="J773" s="145"/>
      <c r="K773" s="502"/>
      <c r="L773" s="502"/>
      <c r="M773" s="18"/>
      <c r="N773" s="226"/>
    </row>
    <row r="774" spans="1:25" s="724" customFormat="1" ht="15">
      <c r="A774" s="248" t="s">
        <v>809</v>
      </c>
      <c r="B774" s="145"/>
      <c r="C774" s="145"/>
      <c r="D774" s="145"/>
      <c r="E774" s="145"/>
      <c r="F774" s="145"/>
      <c r="G774" s="145"/>
      <c r="H774" s="145"/>
      <c r="I774" s="145"/>
      <c r="J774" s="145"/>
      <c r="K774" s="502"/>
      <c r="L774" s="502"/>
      <c r="M774" s="18"/>
      <c r="N774" s="226"/>
      <c r="O774" s="244"/>
      <c r="P774" s="244"/>
      <c r="Q774" s="244"/>
      <c r="R774" s="244"/>
      <c r="S774" s="244"/>
      <c r="T774" s="244"/>
      <c r="U774" s="244"/>
      <c r="V774" s="244"/>
      <c r="W774" s="244"/>
      <c r="X774" s="244"/>
      <c r="Y774" s="244"/>
    </row>
    <row r="775" spans="1:25" s="724" customFormat="1" ht="15">
      <c r="A775" s="248" t="s">
        <v>808</v>
      </c>
      <c r="B775" s="145"/>
      <c r="C775" s="145"/>
      <c r="D775" s="145"/>
      <c r="E775" s="145"/>
      <c r="F775" s="145"/>
      <c r="G775" s="145"/>
      <c r="H775" s="145"/>
      <c r="I775" s="145"/>
      <c r="J775" s="145"/>
      <c r="K775" s="502"/>
      <c r="L775" s="502"/>
      <c r="M775" s="18"/>
      <c r="N775" s="226"/>
      <c r="O775" s="244"/>
      <c r="P775" s="244"/>
      <c r="Q775" s="244"/>
      <c r="R775" s="244"/>
      <c r="S775" s="244"/>
      <c r="T775" s="244"/>
      <c r="U775" s="244"/>
      <c r="V775" s="244"/>
      <c r="W775" s="244"/>
      <c r="X775" s="244"/>
      <c r="Y775" s="244"/>
    </row>
    <row r="776" spans="1:14" ht="15">
      <c r="A776" s="248"/>
      <c r="B776" s="248"/>
      <c r="C776" s="248"/>
      <c r="D776" s="248"/>
      <c r="E776" s="3"/>
      <c r="F776" s="3"/>
      <c r="G776" s="3"/>
      <c r="H776" s="3"/>
      <c r="I776" s="3"/>
      <c r="J776" s="3"/>
      <c r="K776" s="502"/>
      <c r="L776" s="502"/>
      <c r="M776" s="76"/>
      <c r="N776" s="76"/>
    </row>
    <row r="777" spans="1:14" ht="15.75" customHeight="1">
      <c r="A777" s="867" t="s">
        <v>708</v>
      </c>
      <c r="B777" s="867"/>
      <c r="C777" s="867"/>
      <c r="D777" s="867"/>
      <c r="E777" s="867"/>
      <c r="F777" s="867"/>
      <c r="G777" s="867"/>
      <c r="H777" s="867"/>
      <c r="I777" s="692"/>
      <c r="J777" s="692"/>
      <c r="K777" s="693"/>
      <c r="L777" s="693"/>
      <c r="M777" s="694"/>
      <c r="N777" s="226"/>
    </row>
    <row r="778" spans="1:14" ht="16.5" customHeight="1">
      <c r="A778" s="965" t="s">
        <v>567</v>
      </c>
      <c r="B778" s="965"/>
      <c r="C778" s="965"/>
      <c r="D778" s="965"/>
      <c r="E778" s="965"/>
      <c r="F778" s="965"/>
      <c r="G778" s="965"/>
      <c r="H778" s="965"/>
      <c r="I778" s="692"/>
      <c r="J778" s="692"/>
      <c r="K778" s="693"/>
      <c r="L778" s="693"/>
      <c r="M778" s="694"/>
      <c r="N778" s="226"/>
    </row>
    <row r="779" spans="1:14" ht="17.25" customHeight="1">
      <c r="A779" s="965" t="s">
        <v>565</v>
      </c>
      <c r="B779" s="965"/>
      <c r="C779" s="965"/>
      <c r="D779" s="965"/>
      <c r="E779" s="965"/>
      <c r="F779" s="965"/>
      <c r="G779" s="965"/>
      <c r="H779" s="965"/>
      <c r="I779" s="692"/>
      <c r="J779" s="692"/>
      <c r="K779" s="693"/>
      <c r="L779" s="693"/>
      <c r="M779" s="694"/>
      <c r="N779" s="226"/>
    </row>
    <row r="780" spans="1:14" ht="16.5" customHeight="1">
      <c r="A780" s="965" t="s">
        <v>965</v>
      </c>
      <c r="B780" s="965"/>
      <c r="C780" s="965"/>
      <c r="D780" s="965"/>
      <c r="E780" s="965"/>
      <c r="F780" s="965"/>
      <c r="G780" s="965"/>
      <c r="H780" s="965"/>
      <c r="I780" s="961"/>
      <c r="J780" s="692"/>
      <c r="K780" s="693"/>
      <c r="L780" s="693"/>
      <c r="M780" s="694"/>
      <c r="N780" s="226"/>
    </row>
    <row r="781" spans="1:14" ht="16.5" customHeight="1">
      <c r="A781" s="965" t="s">
        <v>966</v>
      </c>
      <c r="B781" s="965"/>
      <c r="C781" s="965"/>
      <c r="D781" s="965"/>
      <c r="E781" s="965"/>
      <c r="F781" s="965"/>
      <c r="G781" s="965"/>
      <c r="H781" s="965"/>
      <c r="I781" s="695"/>
      <c r="J781" s="695"/>
      <c r="K781" s="693"/>
      <c r="L781" s="693"/>
      <c r="M781" s="694"/>
      <c r="N781" s="226"/>
    </row>
    <row r="782" spans="1:14" ht="14.25" customHeight="1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502"/>
      <c r="L782" s="502"/>
      <c r="M782" s="18"/>
      <c r="N782" s="226"/>
    </row>
    <row r="783" spans="1:14" ht="15.75">
      <c r="A783" s="1087" t="s">
        <v>173</v>
      </c>
      <c r="B783" s="1087"/>
      <c r="C783" s="1087"/>
      <c r="D783" s="1087"/>
      <c r="E783" s="1087"/>
      <c r="F783" s="1087"/>
      <c r="G783" s="1087"/>
      <c r="H783" s="1087"/>
      <c r="I783" s="1087"/>
      <c r="J783" s="1087"/>
      <c r="K783" s="502"/>
      <c r="L783" s="502"/>
      <c r="M783" s="18"/>
      <c r="N783" s="226"/>
    </row>
    <row r="784" spans="1:14" ht="16.5" thickBot="1">
      <c r="A784" s="137"/>
      <c r="B784" s="137"/>
      <c r="C784" s="195"/>
      <c r="D784" s="195"/>
      <c r="E784" s="195"/>
      <c r="F784" s="195"/>
      <c r="G784" s="195"/>
      <c r="H784" s="195"/>
      <c r="I784" s="137"/>
      <c r="J784" s="137"/>
      <c r="K784" s="502"/>
      <c r="L784" s="502"/>
      <c r="M784" s="18"/>
      <c r="N784" s="226"/>
    </row>
    <row r="785" spans="1:14" ht="21.75" customHeight="1" thickTop="1">
      <c r="A785" s="93" t="s">
        <v>74</v>
      </c>
      <c r="B785" s="93"/>
      <c r="C785" s="420" t="s">
        <v>599</v>
      </c>
      <c r="D785" s="421"/>
      <c r="E785" s="422" t="s">
        <v>600</v>
      </c>
      <c r="F785" s="423"/>
      <c r="G785" s="422" t="s">
        <v>604</v>
      </c>
      <c r="H785" s="423"/>
      <c r="I785" s="422" t="s">
        <v>603</v>
      </c>
      <c r="J785" s="599"/>
      <c r="K785" s="604"/>
      <c r="L785" s="603"/>
      <c r="M785" s="22"/>
      <c r="N785" s="226"/>
    </row>
    <row r="786" spans="1:14" ht="17.25" customHeight="1">
      <c r="A786" s="303" t="s">
        <v>174</v>
      </c>
      <c r="B786" s="259" t="s">
        <v>1</v>
      </c>
      <c r="C786" s="840">
        <f>CEILING(120*$Z$1,0.1)</f>
        <v>156</v>
      </c>
      <c r="D786" s="844"/>
      <c r="E786" s="840">
        <f>CEILING(205*$Z$1,0.1)</f>
        <v>266.5</v>
      </c>
      <c r="F786" s="844"/>
      <c r="G786" s="840">
        <f>CEILING(185*$Z$1,0.1)</f>
        <v>240.5</v>
      </c>
      <c r="H786" s="844"/>
      <c r="I786" s="840">
        <f>CEILING(140*$Z$1,0.1)</f>
        <v>182</v>
      </c>
      <c r="J786" s="844"/>
      <c r="K786" s="840"/>
      <c r="L786" s="844"/>
      <c r="M786" s="22"/>
      <c r="N786" s="226"/>
    </row>
    <row r="787" spans="1:14" ht="17.25" customHeight="1">
      <c r="A787" s="262" t="s">
        <v>76</v>
      </c>
      <c r="B787" s="31" t="s">
        <v>2</v>
      </c>
      <c r="C787" s="840">
        <f>_xlfn.CEILING.MATH((C786+75*$Z$1),0.1)</f>
        <v>253.5</v>
      </c>
      <c r="D787" s="841"/>
      <c r="E787" s="840">
        <f>_xlfn.CEILING.MATH((E786+75*$Z$1),0.1)</f>
        <v>364</v>
      </c>
      <c r="F787" s="841"/>
      <c r="G787" s="840">
        <f>_xlfn.CEILING.MATH((G786+75*$Z$1),0.1)</f>
        <v>338</v>
      </c>
      <c r="H787" s="841"/>
      <c r="I787" s="840">
        <f>_xlfn.CEILING.MATH((I786+75*$Z$1),0.1)</f>
        <v>279.5</v>
      </c>
      <c r="J787" s="841"/>
      <c r="K787" s="840"/>
      <c r="L787" s="844"/>
      <c r="M787" s="22"/>
      <c r="N787" s="226"/>
    </row>
    <row r="788" spans="1:14" ht="15">
      <c r="A788" s="23"/>
      <c r="B788" s="31" t="s">
        <v>468</v>
      </c>
      <c r="C788" s="840">
        <f>_xlfn.CEILING.MATH((C786+20*$Z$1),0.1)</f>
        <v>182</v>
      </c>
      <c r="D788" s="841"/>
      <c r="E788" s="840">
        <f>_xlfn.CEILING.MATH((E786+20*$Z$1),0.1)</f>
        <v>292.5</v>
      </c>
      <c r="F788" s="841"/>
      <c r="G788" s="840">
        <f>_xlfn.CEILING.MATH((G786+20*$Z$1),0.1)</f>
        <v>266.5</v>
      </c>
      <c r="H788" s="841"/>
      <c r="I788" s="840">
        <f>_xlfn.CEILING.MATH((I786+20*$Z$1),0.1)</f>
        <v>208</v>
      </c>
      <c r="J788" s="841"/>
      <c r="K788" s="840"/>
      <c r="L788" s="844"/>
      <c r="M788" s="22"/>
      <c r="N788" s="226"/>
    </row>
    <row r="789" spans="1:14" ht="15">
      <c r="A789" s="23"/>
      <c r="B789" s="31" t="s">
        <v>469</v>
      </c>
      <c r="C789" s="840">
        <f>_xlfn.CEILING.MATH((C788+75*$Z$1),0.1)</f>
        <v>279.5</v>
      </c>
      <c r="D789" s="841"/>
      <c r="E789" s="840">
        <f>_xlfn.CEILING.MATH((E788+75*$Z$1),0.1)</f>
        <v>390</v>
      </c>
      <c r="F789" s="841"/>
      <c r="G789" s="840">
        <f>_xlfn.CEILING.MATH((G788+75*$Z$1),0.1)</f>
        <v>364</v>
      </c>
      <c r="H789" s="841"/>
      <c r="I789" s="840">
        <f>_xlfn.CEILING.MATH((I788+75*$Z$1),0.1)</f>
        <v>305.5</v>
      </c>
      <c r="J789" s="841"/>
      <c r="K789" s="840"/>
      <c r="L789" s="844"/>
      <c r="M789" s="22"/>
      <c r="N789" s="226"/>
    </row>
    <row r="790" spans="1:25" s="724" customFormat="1" ht="15">
      <c r="A790" s="23"/>
      <c r="B790" s="31" t="s">
        <v>470</v>
      </c>
      <c r="C790" s="840">
        <f>_xlfn.CEILING.MATH((C786+30*$Z$1),0.1)</f>
        <v>195</v>
      </c>
      <c r="D790" s="841"/>
      <c r="E790" s="840">
        <f>_xlfn.CEILING.MATH((E786+30*$Z$1),0.1)</f>
        <v>305.5</v>
      </c>
      <c r="F790" s="841"/>
      <c r="G790" s="840">
        <f>_xlfn.CEILING.MATH((G786+30*$Z$1),0.1)</f>
        <v>279.5</v>
      </c>
      <c r="H790" s="841"/>
      <c r="I790" s="840">
        <f>_xlfn.CEILING.MATH((I786+30*$Z$1),0.1)</f>
        <v>221</v>
      </c>
      <c r="J790" s="841"/>
      <c r="K790" s="738"/>
      <c r="L790" s="739"/>
      <c r="M790" s="22"/>
      <c r="N790" s="226"/>
      <c r="O790" s="244"/>
      <c r="P790" s="244"/>
      <c r="Q790" s="244"/>
      <c r="R790" s="244"/>
      <c r="S790" s="244"/>
      <c r="T790" s="244"/>
      <c r="U790" s="244"/>
      <c r="V790" s="244"/>
      <c r="W790" s="244"/>
      <c r="X790" s="244"/>
      <c r="Y790" s="244"/>
    </row>
    <row r="791" spans="1:25" s="724" customFormat="1" ht="15">
      <c r="A791" s="23"/>
      <c r="B791" s="31" t="s">
        <v>654</v>
      </c>
      <c r="C791" s="840">
        <f>_xlfn.CEILING.MATH((C786+40*$Z$1),0.1)</f>
        <v>208</v>
      </c>
      <c r="D791" s="841"/>
      <c r="E791" s="840">
        <f>_xlfn.CEILING.MATH((E786+40*$Z$1),0.1)</f>
        <v>318.5</v>
      </c>
      <c r="F791" s="841"/>
      <c r="G791" s="840">
        <f>_xlfn.CEILING.MATH((G786+40*$Z$1),0.1)</f>
        <v>292.5</v>
      </c>
      <c r="H791" s="841"/>
      <c r="I791" s="840">
        <f>_xlfn.CEILING.MATH((I786+40*$Z$1),0.1)</f>
        <v>234</v>
      </c>
      <c r="J791" s="841"/>
      <c r="K791" s="738"/>
      <c r="L791" s="739"/>
      <c r="M791" s="22"/>
      <c r="N791" s="226"/>
      <c r="O791" s="244"/>
      <c r="P791" s="244"/>
      <c r="Q791" s="244"/>
      <c r="R791" s="244"/>
      <c r="S791" s="244"/>
      <c r="T791" s="244"/>
      <c r="U791" s="244"/>
      <c r="V791" s="244"/>
      <c r="W791" s="244"/>
      <c r="X791" s="244"/>
      <c r="Y791" s="244"/>
    </row>
    <row r="792" spans="1:25" s="724" customFormat="1" ht="15">
      <c r="A792" s="23"/>
      <c r="B792" s="31" t="s">
        <v>655</v>
      </c>
      <c r="C792" s="840">
        <f>_xlfn.CEILING.MATH((C786+50*$Z$1),0.1)</f>
        <v>221</v>
      </c>
      <c r="D792" s="841"/>
      <c r="E792" s="840">
        <f>_xlfn.CEILING.MATH((E786+50*$Z$1),0.1)</f>
        <v>331.5</v>
      </c>
      <c r="F792" s="841"/>
      <c r="G792" s="840">
        <f>_xlfn.CEILING.MATH((G786+50*$Z$1),0.1)</f>
        <v>305.5</v>
      </c>
      <c r="H792" s="841"/>
      <c r="I792" s="840">
        <f>_xlfn.CEILING.MATH((I786+50*$Z$1),0.1)</f>
        <v>247</v>
      </c>
      <c r="J792" s="841"/>
      <c r="K792" s="738"/>
      <c r="L792" s="739"/>
      <c r="M792" s="22"/>
      <c r="N792" s="226"/>
      <c r="O792" s="244"/>
      <c r="P792" s="244"/>
      <c r="Q792" s="244"/>
      <c r="R792" s="244"/>
      <c r="S792" s="244"/>
      <c r="T792" s="244"/>
      <c r="U792" s="244"/>
      <c r="V792" s="244"/>
      <c r="W792" s="244"/>
      <c r="X792" s="244"/>
      <c r="Y792" s="244"/>
    </row>
    <row r="793" spans="1:14" ht="17.25" customHeight="1" thickBot="1">
      <c r="A793" s="391" t="s">
        <v>906</v>
      </c>
      <c r="B793" s="152" t="s">
        <v>656</v>
      </c>
      <c r="C793" s="846">
        <f>CEILING(850*$Z$1,0.1)</f>
        <v>1105</v>
      </c>
      <c r="D793" s="848"/>
      <c r="E793" s="846">
        <f>CEILING(850*$Z$1,0.1)</f>
        <v>1105</v>
      </c>
      <c r="F793" s="848"/>
      <c r="G793" s="846">
        <f>CEILING(850*$Z$1,0.1)</f>
        <v>1105</v>
      </c>
      <c r="H793" s="848"/>
      <c r="I793" s="846">
        <f>CEILING(850*$Z$1,0.1)</f>
        <v>1105</v>
      </c>
      <c r="J793" s="848"/>
      <c r="K793" s="840"/>
      <c r="L793" s="844"/>
      <c r="M793" s="76"/>
      <c r="N793" s="76"/>
    </row>
    <row r="794" spans="1:14" ht="18" customHeight="1" thickTop="1">
      <c r="A794" s="1073" t="s">
        <v>175</v>
      </c>
      <c r="B794" s="1073"/>
      <c r="C794" s="1073"/>
      <c r="D794" s="1073"/>
      <c r="E794" s="1073"/>
      <c r="F794" s="1073"/>
      <c r="G794" s="1073"/>
      <c r="H794" s="1073"/>
      <c r="I794" s="196"/>
      <c r="J794" s="196"/>
      <c r="K794" s="128"/>
      <c r="L794" s="502"/>
      <c r="M794" s="18"/>
      <c r="N794" s="226"/>
    </row>
    <row r="795" spans="1:14" ht="21" customHeight="1" thickBot="1">
      <c r="A795" s="1072"/>
      <c r="B795" s="1072"/>
      <c r="C795" s="1072"/>
      <c r="D795" s="1072"/>
      <c r="E795" s="1072"/>
      <c r="F795" s="1072"/>
      <c r="G795" s="1072"/>
      <c r="H795" s="1072"/>
      <c r="I795" s="137"/>
      <c r="J795" s="137"/>
      <c r="K795" s="128"/>
      <c r="L795" s="502"/>
      <c r="M795" s="18"/>
      <c r="N795" s="226"/>
    </row>
    <row r="796" spans="1:14" ht="24.75" customHeight="1" thickTop="1">
      <c r="A796" s="93" t="s">
        <v>74</v>
      </c>
      <c r="B796" s="93"/>
      <c r="C796" s="420" t="s">
        <v>599</v>
      </c>
      <c r="D796" s="421"/>
      <c r="E796" s="422" t="s">
        <v>600</v>
      </c>
      <c r="F796" s="423"/>
      <c r="G796" s="422" t="s">
        <v>601</v>
      </c>
      <c r="H796" s="423"/>
      <c r="I796" s="422" t="s">
        <v>602</v>
      </c>
      <c r="J796" s="423"/>
      <c r="K796" s="422" t="s">
        <v>603</v>
      </c>
      <c r="L796" s="599"/>
      <c r="M796" s="23"/>
      <c r="N796" s="226"/>
    </row>
    <row r="797" spans="1:14" ht="15">
      <c r="A797" s="303" t="s">
        <v>176</v>
      </c>
      <c r="B797" s="45" t="s">
        <v>431</v>
      </c>
      <c r="C797" s="840">
        <f>CEILING(60*$Z$1,0.1)</f>
        <v>78</v>
      </c>
      <c r="D797" s="844"/>
      <c r="E797" s="840">
        <f>CEILING(105*$Z$1,0.1)</f>
        <v>136.5</v>
      </c>
      <c r="F797" s="844"/>
      <c r="G797" s="840">
        <f>CEILING(85*$Z$1,0.1)</f>
        <v>110.5</v>
      </c>
      <c r="H797" s="844"/>
      <c r="I797" s="840">
        <f>CEILING(100*$Z$1,0.1)</f>
        <v>130</v>
      </c>
      <c r="J797" s="844"/>
      <c r="K797" s="840">
        <f>CEILING(85*$Z$1,0.1)</f>
        <v>110.5</v>
      </c>
      <c r="L797" s="844"/>
      <c r="M797" s="23"/>
      <c r="N797" s="226"/>
    </row>
    <row r="798" spans="1:14" ht="15">
      <c r="A798" s="262" t="s">
        <v>76</v>
      </c>
      <c r="B798" s="14" t="s">
        <v>432</v>
      </c>
      <c r="C798" s="840">
        <f>_xlfn.CEILING.MATH((C797+30*$Z$1),0.1)</f>
        <v>117</v>
      </c>
      <c r="D798" s="841"/>
      <c r="E798" s="840">
        <f>_xlfn.CEILING.MATH((E797+30*$Z$1),0.1)</f>
        <v>175.5</v>
      </c>
      <c r="F798" s="841"/>
      <c r="G798" s="840">
        <f>_xlfn.CEILING.MATH((G797+30*$Z$1),0.1)</f>
        <v>149.5</v>
      </c>
      <c r="H798" s="841"/>
      <c r="I798" s="840">
        <f>_xlfn.CEILING.MATH((I797+30*$Z$1),0.1)</f>
        <v>169</v>
      </c>
      <c r="J798" s="841"/>
      <c r="K798" s="840">
        <f>_xlfn.CEILING.MATH((K797+30*$Z$1),0.1)</f>
        <v>149.5</v>
      </c>
      <c r="L798" s="844"/>
      <c r="M798" s="23"/>
      <c r="N798" s="226"/>
    </row>
    <row r="799" spans="1:14" ht="15">
      <c r="A799" s="263"/>
      <c r="B799" s="14" t="s">
        <v>78</v>
      </c>
      <c r="C799" s="840">
        <f>CEILING((C797*0.85),0.1)</f>
        <v>66.3</v>
      </c>
      <c r="D799" s="841"/>
      <c r="E799" s="840">
        <f>CEILING((E797*0.85),0.1)</f>
        <v>116.10000000000001</v>
      </c>
      <c r="F799" s="841"/>
      <c r="G799" s="840">
        <f>CEILING((G797*0.85),0.1)</f>
        <v>94</v>
      </c>
      <c r="H799" s="841"/>
      <c r="I799" s="840">
        <f>CEILING((I797*0.85),0.1)</f>
        <v>110.5</v>
      </c>
      <c r="J799" s="841"/>
      <c r="K799" s="840">
        <f>CEILING((K797*0.85),0.1)</f>
        <v>94</v>
      </c>
      <c r="L799" s="844"/>
      <c r="M799" s="23"/>
      <c r="N799" s="226"/>
    </row>
    <row r="800" spans="1:14" ht="16.5" thickBot="1">
      <c r="A800" s="391" t="s">
        <v>921</v>
      </c>
      <c r="B800" s="457" t="s">
        <v>115</v>
      </c>
      <c r="C800" s="846">
        <f>CEILING((C797*0.5),0.1)</f>
        <v>39</v>
      </c>
      <c r="D800" s="848"/>
      <c r="E800" s="846">
        <f>CEILING((E797*0.5),0.1)</f>
        <v>68.3</v>
      </c>
      <c r="F800" s="848"/>
      <c r="G800" s="846">
        <f>CEILING((G797*0.5),0.1)</f>
        <v>55.300000000000004</v>
      </c>
      <c r="H800" s="848"/>
      <c r="I800" s="846">
        <f>CEILING((I797*0.5),0.1)</f>
        <v>65</v>
      </c>
      <c r="J800" s="848"/>
      <c r="K800" s="846">
        <f>CEILING((K797*0.5),0.1)</f>
        <v>55.300000000000004</v>
      </c>
      <c r="L800" s="847"/>
      <c r="M800" s="654"/>
      <c r="N800" s="76"/>
    </row>
    <row r="801" spans="1:25" s="724" customFormat="1" ht="15.75" thickTop="1">
      <c r="A801" s="248" t="s">
        <v>650</v>
      </c>
      <c r="B801" s="51"/>
      <c r="C801" s="739"/>
      <c r="D801" s="739"/>
      <c r="E801" s="739"/>
      <c r="F801" s="739"/>
      <c r="G801" s="739"/>
      <c r="H801" s="739"/>
      <c r="I801" s="739"/>
      <c r="J801" s="739"/>
      <c r="K801" s="739"/>
      <c r="L801" s="739"/>
      <c r="M801" s="76"/>
      <c r="N801" s="76"/>
      <c r="O801" s="244"/>
      <c r="P801" s="244"/>
      <c r="Q801" s="244"/>
      <c r="R801" s="244"/>
      <c r="S801" s="244"/>
      <c r="T801" s="244"/>
      <c r="U801" s="244"/>
      <c r="V801" s="244"/>
      <c r="W801" s="244"/>
      <c r="X801" s="244"/>
      <c r="Y801" s="244"/>
    </row>
    <row r="802" spans="1:14" ht="16.5" customHeight="1" thickBot="1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128"/>
      <c r="L802" s="502"/>
      <c r="M802" s="18"/>
      <c r="N802" s="226"/>
    </row>
    <row r="803" spans="1:14" ht="24" customHeight="1" thickTop="1">
      <c r="A803" s="141" t="s">
        <v>74</v>
      </c>
      <c r="B803" s="141"/>
      <c r="C803" s="420" t="s">
        <v>599</v>
      </c>
      <c r="D803" s="421"/>
      <c r="E803" s="422" t="s">
        <v>600</v>
      </c>
      <c r="F803" s="423"/>
      <c r="G803" s="422" t="s">
        <v>601</v>
      </c>
      <c r="H803" s="423"/>
      <c r="I803" s="422" t="s">
        <v>602</v>
      </c>
      <c r="J803" s="423"/>
      <c r="K803" s="422" t="s">
        <v>603</v>
      </c>
      <c r="L803" s="599"/>
      <c r="M803" s="746"/>
      <c r="N803" s="122"/>
    </row>
    <row r="804" spans="1:14" ht="15">
      <c r="A804" s="59" t="s">
        <v>177</v>
      </c>
      <c r="B804" s="45" t="s">
        <v>431</v>
      </c>
      <c r="C804" s="840">
        <f>CEILING(60*$Z$1,0.1)</f>
        <v>78</v>
      </c>
      <c r="D804" s="844"/>
      <c r="E804" s="840">
        <f>CEILING(105*$Z$1,0.1)</f>
        <v>136.5</v>
      </c>
      <c r="F804" s="844"/>
      <c r="G804" s="840">
        <f>CEILING(87*$Z$1,0.1)</f>
        <v>113.10000000000001</v>
      </c>
      <c r="H804" s="844"/>
      <c r="I804" s="840">
        <f>CEILING(100*$Z$1,0.1)</f>
        <v>130</v>
      </c>
      <c r="J804" s="844"/>
      <c r="K804" s="840">
        <f>CEILING(83*$Z$1,0.1)</f>
        <v>107.9</v>
      </c>
      <c r="L804" s="844"/>
      <c r="M804" s="746"/>
      <c r="N804" s="122"/>
    </row>
    <row r="805" spans="1:14" ht="18.75" customHeight="1">
      <c r="A805" s="56" t="s">
        <v>76</v>
      </c>
      <c r="B805" s="14" t="s">
        <v>432</v>
      </c>
      <c r="C805" s="840">
        <f>_xlfn.CEILING.MATH((C804+30*$Z$1),0.1)</f>
        <v>117</v>
      </c>
      <c r="D805" s="841"/>
      <c r="E805" s="840">
        <f>_xlfn.CEILING.MATH((E804+30*$Z$1),0.1)</f>
        <v>175.5</v>
      </c>
      <c r="F805" s="841"/>
      <c r="G805" s="840">
        <f>_xlfn.CEILING.MATH((G804+30*$Z$1),0.1)</f>
        <v>152.1</v>
      </c>
      <c r="H805" s="841"/>
      <c r="I805" s="840">
        <f>_xlfn.CEILING.MATH((I804+30*$Z$1),0.1)</f>
        <v>169</v>
      </c>
      <c r="J805" s="841"/>
      <c r="K805" s="840">
        <f>_xlfn.CEILING.MATH((K804+30*$Z$1),0.1)</f>
        <v>146.9</v>
      </c>
      <c r="L805" s="844"/>
      <c r="M805" s="746"/>
      <c r="N805" s="122"/>
    </row>
    <row r="806" spans="1:14" ht="18.75" customHeight="1">
      <c r="A806" s="56"/>
      <c r="B806" s="14" t="s">
        <v>116</v>
      </c>
      <c r="C806" s="840">
        <f>CEILING((C804*0.85),0.1)</f>
        <v>66.3</v>
      </c>
      <c r="D806" s="841"/>
      <c r="E806" s="840">
        <f>CEILING((E804*0.85),0.1)</f>
        <v>116.10000000000001</v>
      </c>
      <c r="F806" s="841"/>
      <c r="G806" s="840">
        <f>CEILING((G804*0.85),0.1)</f>
        <v>96.2</v>
      </c>
      <c r="H806" s="841"/>
      <c r="I806" s="840">
        <f>CEILING((I804*0.85),0.1)</f>
        <v>110.5</v>
      </c>
      <c r="J806" s="841"/>
      <c r="K806" s="840">
        <f>CEILING((K804*0.85),0.1)</f>
        <v>91.80000000000001</v>
      </c>
      <c r="L806" s="844"/>
      <c r="M806" s="654"/>
      <c r="N806" s="76"/>
    </row>
    <row r="807" spans="1:14" ht="18" customHeight="1">
      <c r="A807" s="56"/>
      <c r="B807" s="205" t="s">
        <v>115</v>
      </c>
      <c r="C807" s="840">
        <f>CEILING((C797*0.5),0.1)</f>
        <v>39</v>
      </c>
      <c r="D807" s="841"/>
      <c r="E807" s="840">
        <f>CEILING((E797*0.5),0.1)</f>
        <v>68.3</v>
      </c>
      <c r="F807" s="841"/>
      <c r="G807" s="840">
        <f>CEILING((G797*0.5),0.1)</f>
        <v>55.300000000000004</v>
      </c>
      <c r="H807" s="841"/>
      <c r="I807" s="840">
        <f>CEILING((I797*0.5),0.1)</f>
        <v>65</v>
      </c>
      <c r="J807" s="841"/>
      <c r="K807" s="840">
        <f>CEILING((K797*0.5),0.1)</f>
        <v>55.300000000000004</v>
      </c>
      <c r="L807" s="844"/>
      <c r="M807" s="23"/>
      <c r="N807" s="226"/>
    </row>
    <row r="808" spans="1:14" ht="18" customHeight="1">
      <c r="A808" s="56"/>
      <c r="B808" s="14" t="s">
        <v>303</v>
      </c>
      <c r="C808" s="840">
        <f>_xlfn.CEILING.MATH((C804+18*$Z$1),0.1)</f>
        <v>101.4</v>
      </c>
      <c r="D808" s="841"/>
      <c r="E808" s="840">
        <f>_xlfn.CEILING.MATH((E804+18*$Z$1),0.1)</f>
        <v>159.9</v>
      </c>
      <c r="F808" s="841"/>
      <c r="G808" s="840">
        <f>_xlfn.CEILING.MATH((G804+18*$Z$1),0.1)</f>
        <v>136.5</v>
      </c>
      <c r="H808" s="841"/>
      <c r="I808" s="840">
        <f>_xlfn.CEILING.MATH((I804+18*$Z$1),0.1)</f>
        <v>153.4</v>
      </c>
      <c r="J808" s="841"/>
      <c r="K808" s="840">
        <f>_xlfn.CEILING.MATH((K804+18*$Z$1),0.1)</f>
        <v>131.3</v>
      </c>
      <c r="L808" s="841"/>
      <c r="M808" s="23"/>
      <c r="N808" s="226"/>
    </row>
    <row r="809" spans="1:14" ht="18.75" customHeight="1" thickBot="1">
      <c r="A809" s="391" t="s">
        <v>906</v>
      </c>
      <c r="B809" s="15" t="s">
        <v>304</v>
      </c>
      <c r="C809" s="846">
        <f>_xlfn.CEILING.MATH((C808+30*$Z$1),0.1)</f>
        <v>140.4</v>
      </c>
      <c r="D809" s="848"/>
      <c r="E809" s="846">
        <f>_xlfn.CEILING.MATH((E808+30*$Z$1),0.1)</f>
        <v>198.9</v>
      </c>
      <c r="F809" s="848"/>
      <c r="G809" s="846">
        <f>_xlfn.CEILING.MATH((G808+30*$Z$1),0.1)</f>
        <v>175.5</v>
      </c>
      <c r="H809" s="848"/>
      <c r="I809" s="846">
        <f>_xlfn.CEILING.MATH((I808+30*$Z$1),0.1)</f>
        <v>192.4</v>
      </c>
      <c r="J809" s="848"/>
      <c r="K809" s="846">
        <f>_xlfn.CEILING.MATH((K808+30*$Z$1),0.1)</f>
        <v>170.3</v>
      </c>
      <c r="L809" s="848"/>
      <c r="M809" s="23"/>
      <c r="N809" s="226"/>
    </row>
    <row r="810" spans="1:25" s="724" customFormat="1" ht="18.75" customHeight="1" thickTop="1">
      <c r="A810" s="248" t="s">
        <v>650</v>
      </c>
      <c r="B810" s="51"/>
      <c r="C810" s="739"/>
      <c r="D810" s="739"/>
      <c r="E810" s="739"/>
      <c r="F810" s="739"/>
      <c r="G810" s="739"/>
      <c r="H810" s="739"/>
      <c r="I810" s="739"/>
      <c r="J810" s="739"/>
      <c r="K810" s="739"/>
      <c r="L810" s="739"/>
      <c r="M810" s="22"/>
      <c r="N810" s="226"/>
      <c r="O810" s="244"/>
      <c r="P810" s="244"/>
      <c r="Q810" s="244"/>
      <c r="R810" s="244"/>
      <c r="S810" s="244"/>
      <c r="T810" s="244"/>
      <c r="U810" s="244"/>
      <c r="V810" s="244"/>
      <c r="W810" s="244"/>
      <c r="X810" s="244"/>
      <c r="Y810" s="244"/>
    </row>
    <row r="811" spans="1:14" ht="17.25" customHeight="1" thickBot="1">
      <c r="A811" s="95"/>
      <c r="B811" s="62"/>
      <c r="C811" s="2"/>
      <c r="D811" s="2"/>
      <c r="E811" s="2"/>
      <c r="F811" s="2"/>
      <c r="G811" s="2"/>
      <c r="H811" s="2"/>
      <c r="I811" s="2"/>
      <c r="J811" s="2"/>
      <c r="K811" s="128"/>
      <c r="L811" s="502"/>
      <c r="M811" s="122"/>
      <c r="N811" s="122"/>
    </row>
    <row r="812" spans="1:14" ht="28.5" customHeight="1" thickTop="1">
      <c r="A812" s="93" t="s">
        <v>74</v>
      </c>
      <c r="B812" s="93"/>
      <c r="C812" s="420" t="s">
        <v>599</v>
      </c>
      <c r="D812" s="421"/>
      <c r="E812" s="422" t="s">
        <v>600</v>
      </c>
      <c r="F812" s="423"/>
      <c r="G812" s="422" t="s">
        <v>601</v>
      </c>
      <c r="H812" s="423"/>
      <c r="I812" s="422" t="s">
        <v>602</v>
      </c>
      <c r="J812" s="423"/>
      <c r="K812" s="422" t="s">
        <v>603</v>
      </c>
      <c r="L812" s="599"/>
      <c r="M812" s="4"/>
      <c r="N812" s="3"/>
    </row>
    <row r="813" spans="1:14" ht="17.25" customHeight="1">
      <c r="A813" s="142" t="s">
        <v>178</v>
      </c>
      <c r="B813" s="101" t="s">
        <v>82</v>
      </c>
      <c r="C813" s="840">
        <f>CEILING(50*$Z$1,0.1)</f>
        <v>65</v>
      </c>
      <c r="D813" s="844"/>
      <c r="E813" s="840">
        <f>CEILING(80*$Z$1,0.1)</f>
        <v>104</v>
      </c>
      <c r="F813" s="844"/>
      <c r="G813" s="840">
        <f>CEILING(69*$Z$1,0.1)</f>
        <v>89.7</v>
      </c>
      <c r="H813" s="844"/>
      <c r="I813" s="840">
        <f>CEILING(73*$Z$1,0.1)</f>
        <v>94.9</v>
      </c>
      <c r="J813" s="844"/>
      <c r="K813" s="840">
        <f>CEILING(63*$Z$1,0.1)</f>
        <v>81.9</v>
      </c>
      <c r="L813" s="844"/>
      <c r="M813" s="4"/>
      <c r="N813" s="3"/>
    </row>
    <row r="814" spans="1:14" ht="15">
      <c r="A814" s="56" t="s">
        <v>91</v>
      </c>
      <c r="B814" s="34" t="s">
        <v>83</v>
      </c>
      <c r="C814" s="840">
        <f>_xlfn.CEILING.MATH((C813+25*$Z$1),0.1)</f>
        <v>97.5</v>
      </c>
      <c r="D814" s="841"/>
      <c r="E814" s="840">
        <f>_xlfn.CEILING.MATH((E813+25*$Z$1),0.1)</f>
        <v>136.5</v>
      </c>
      <c r="F814" s="841"/>
      <c r="G814" s="840">
        <f>_xlfn.CEILING.MATH((G813+25*$Z$1),0.1)</f>
        <v>122.2</v>
      </c>
      <c r="H814" s="841"/>
      <c r="I814" s="840">
        <f>_xlfn.CEILING.MATH((I813+25*$Z$1),0.1)</f>
        <v>127.4</v>
      </c>
      <c r="J814" s="841"/>
      <c r="K814" s="840">
        <f>_xlfn.CEILING.MATH((K813+25*$Z$1),0.1)</f>
        <v>114.4</v>
      </c>
      <c r="L814" s="844"/>
      <c r="M814" s="4"/>
      <c r="N814" s="3"/>
    </row>
    <row r="815" spans="1:14" ht="15">
      <c r="A815" s="56"/>
      <c r="B815" s="42" t="s">
        <v>116</v>
      </c>
      <c r="C815" s="840">
        <f>CEILING((C813*0.85),0.1)</f>
        <v>55.300000000000004</v>
      </c>
      <c r="D815" s="841"/>
      <c r="E815" s="840">
        <f>CEILING((E813*0.85),0.1)</f>
        <v>88.4</v>
      </c>
      <c r="F815" s="841"/>
      <c r="G815" s="840">
        <f>CEILING((G813*0.85),0.1)</f>
        <v>76.3</v>
      </c>
      <c r="H815" s="841"/>
      <c r="I815" s="840">
        <f>CEILING((I813*0.85),0.1)</f>
        <v>80.7</v>
      </c>
      <c r="J815" s="841"/>
      <c r="K815" s="840">
        <f>CEILING((K813*0.85),0.1)</f>
        <v>69.7</v>
      </c>
      <c r="L815" s="844"/>
      <c r="M815" s="81"/>
      <c r="N815" s="26"/>
    </row>
    <row r="816" spans="1:14" ht="18" customHeight="1">
      <c r="A816" s="56"/>
      <c r="B816" s="205" t="s">
        <v>115</v>
      </c>
      <c r="C816" s="842">
        <v>0</v>
      </c>
      <c r="D816" s="843"/>
      <c r="E816" s="842">
        <v>0</v>
      </c>
      <c r="F816" s="843"/>
      <c r="G816" s="842">
        <v>0</v>
      </c>
      <c r="H816" s="843"/>
      <c r="I816" s="842">
        <v>0</v>
      </c>
      <c r="J816" s="843"/>
      <c r="K816" s="842">
        <v>0</v>
      </c>
      <c r="L816" s="845"/>
      <c r="M816" s="746"/>
      <c r="N816" s="122"/>
    </row>
    <row r="817" spans="1:14" ht="16.5" customHeight="1">
      <c r="A817" s="56"/>
      <c r="B817" s="12" t="s">
        <v>84</v>
      </c>
      <c r="C817" s="840">
        <f>_xlfn.CEILING.MATH((C813+12*$Z$1),0.1)</f>
        <v>80.60000000000001</v>
      </c>
      <c r="D817" s="841"/>
      <c r="E817" s="840">
        <f>_xlfn.CEILING.MATH((E813+12*$Z$1),0.1)</f>
        <v>119.60000000000001</v>
      </c>
      <c r="F817" s="841"/>
      <c r="G817" s="840">
        <f>_xlfn.CEILING.MATH((G813+12*$Z$1),0.1)</f>
        <v>105.30000000000001</v>
      </c>
      <c r="H817" s="841"/>
      <c r="I817" s="840">
        <f>_xlfn.CEILING.MATH((I813+12*$Z$1),0.1)</f>
        <v>110.5</v>
      </c>
      <c r="J817" s="841"/>
      <c r="K817" s="840">
        <f>_xlfn.CEILING.MATH((K813+12*$Z$1),0.1)</f>
        <v>97.5</v>
      </c>
      <c r="L817" s="841"/>
      <c r="M817" s="122"/>
      <c r="N817" s="122"/>
    </row>
    <row r="818" spans="1:14" ht="15.75" customHeight="1">
      <c r="A818" s="56"/>
      <c r="B818" s="12" t="s">
        <v>85</v>
      </c>
      <c r="C818" s="840">
        <f>_xlfn.CEILING.MATH((C817+25*$Z$1),0.1)</f>
        <v>113.10000000000001</v>
      </c>
      <c r="D818" s="841"/>
      <c r="E818" s="840">
        <f>_xlfn.CEILING.MATH((E817+25*$Z$1),0.1)</f>
        <v>152.1</v>
      </c>
      <c r="F818" s="841"/>
      <c r="G818" s="840">
        <f>_xlfn.CEILING.MATH((G817+25*$Z$1),0.1)</f>
        <v>137.8</v>
      </c>
      <c r="H818" s="841"/>
      <c r="I818" s="840">
        <f>_xlfn.CEILING.MATH((I817+25*$Z$1),0.1)</f>
        <v>143</v>
      </c>
      <c r="J818" s="841"/>
      <c r="K818" s="840">
        <f>_xlfn.CEILING.MATH((K817+25*$Z$1),0.1)</f>
        <v>130</v>
      </c>
      <c r="L818" s="841"/>
      <c r="M818" s="122"/>
      <c r="N818" s="122"/>
    </row>
    <row r="819" spans="1:14" ht="17.25" customHeight="1">
      <c r="A819" s="56"/>
      <c r="B819" s="12" t="s">
        <v>119</v>
      </c>
      <c r="C819" s="840">
        <f>_xlfn.CEILING.MATH((C813+15*$Z$1),0.1)</f>
        <v>84.5</v>
      </c>
      <c r="D819" s="841"/>
      <c r="E819" s="840">
        <f>_xlfn.CEILING.MATH((E813+15*$Z$1),0.1)</f>
        <v>123.5</v>
      </c>
      <c r="F819" s="841"/>
      <c r="G819" s="840">
        <f>_xlfn.CEILING.MATH((G813+15*$Z$1),0.1)</f>
        <v>109.2</v>
      </c>
      <c r="H819" s="841"/>
      <c r="I819" s="840">
        <f>_xlfn.CEILING.MATH((I813+15*$Z$1),0.1)</f>
        <v>114.4</v>
      </c>
      <c r="J819" s="841"/>
      <c r="K819" s="840">
        <f>_xlfn.CEILING.MATH((K813+15*$Z$1),0.1)</f>
        <v>101.4</v>
      </c>
      <c r="L819" s="841"/>
      <c r="M819" s="122"/>
      <c r="N819" s="122"/>
    </row>
    <row r="820" spans="1:14" ht="16.5" customHeight="1" thickBot="1">
      <c r="A820" s="391" t="s">
        <v>906</v>
      </c>
      <c r="B820" s="49" t="s">
        <v>120</v>
      </c>
      <c r="C820" s="846">
        <f>_xlfn.CEILING.MATH((C819+25*$Z$1),0.1)</f>
        <v>117</v>
      </c>
      <c r="D820" s="848"/>
      <c r="E820" s="846">
        <f>_xlfn.CEILING.MATH((E819+25*$Z$1),0.1)</f>
        <v>156</v>
      </c>
      <c r="F820" s="848"/>
      <c r="G820" s="846">
        <f>_xlfn.CEILING.MATH((G819+25*$Z$1),0.1)</f>
        <v>141.70000000000002</v>
      </c>
      <c r="H820" s="848"/>
      <c r="I820" s="846">
        <f>_xlfn.CEILING.MATH((I819+25*$Z$1),0.1)</f>
        <v>146.9</v>
      </c>
      <c r="J820" s="848"/>
      <c r="K820" s="846">
        <f>_xlfn.CEILING.MATH((K819+25*$Z$1),0.1)</f>
        <v>133.9</v>
      </c>
      <c r="L820" s="848"/>
      <c r="M820" s="122"/>
      <c r="N820" s="122"/>
    </row>
    <row r="821" spans="1:25" s="724" customFormat="1" ht="16.5" customHeight="1" thickTop="1">
      <c r="A821" s="248" t="s">
        <v>650</v>
      </c>
      <c r="B821" s="51"/>
      <c r="C821" s="739"/>
      <c r="D821" s="739"/>
      <c r="E821" s="739"/>
      <c r="F821" s="739"/>
      <c r="G821" s="739"/>
      <c r="H821" s="739"/>
      <c r="I821" s="739"/>
      <c r="J821" s="739"/>
      <c r="K821" s="739"/>
      <c r="L821" s="739"/>
      <c r="M821" s="122"/>
      <c r="N821" s="122"/>
      <c r="O821" s="244"/>
      <c r="P821" s="244"/>
      <c r="Q821" s="244"/>
      <c r="R821" s="244"/>
      <c r="S821" s="244"/>
      <c r="T821" s="244"/>
      <c r="U821" s="244"/>
      <c r="V821" s="244"/>
      <c r="W821" s="244"/>
      <c r="X821" s="244"/>
      <c r="Y821" s="244"/>
    </row>
    <row r="822" spans="1:13" ht="17.25" customHeight="1" thickBot="1">
      <c r="A822" s="95"/>
      <c r="B822" s="187"/>
      <c r="C822" s="2"/>
      <c r="D822" s="2"/>
      <c r="E822" s="2"/>
      <c r="F822" s="2"/>
      <c r="G822" s="2"/>
      <c r="H822" s="2"/>
      <c r="I822" s="2"/>
      <c r="J822" s="2"/>
      <c r="K822" s="128"/>
      <c r="L822" s="502"/>
      <c r="M822" s="244"/>
    </row>
    <row r="823" spans="1:13" ht="26.25" customHeight="1" thickTop="1">
      <c r="A823" s="93" t="s">
        <v>74</v>
      </c>
      <c r="B823" s="93"/>
      <c r="C823" s="889" t="s">
        <v>665</v>
      </c>
      <c r="D823" s="890"/>
      <c r="E823" s="858" t="s">
        <v>716</v>
      </c>
      <c r="F823" s="859"/>
      <c r="G823" s="860" t="s">
        <v>721</v>
      </c>
      <c r="H823" s="861"/>
      <c r="I823" s="860" t="s">
        <v>668</v>
      </c>
      <c r="J823" s="862"/>
      <c r="K823" s="506"/>
      <c r="L823" s="502"/>
      <c r="M823" s="244"/>
    </row>
    <row r="824" spans="1:13" ht="17.25" customHeight="1">
      <c r="A824" s="142" t="s">
        <v>68</v>
      </c>
      <c r="B824" s="101" t="s">
        <v>82</v>
      </c>
      <c r="C824" s="840">
        <f>CEILING(79*$Z$1,0.1)</f>
        <v>102.7</v>
      </c>
      <c r="D824" s="844"/>
      <c r="E824" s="840">
        <f>CEILING(94*$Z$1,0.1)</f>
        <v>122.2</v>
      </c>
      <c r="F824" s="844"/>
      <c r="G824" s="840">
        <f>CEILING(90*$Z$1,0.1)</f>
        <v>117</v>
      </c>
      <c r="H824" s="844"/>
      <c r="I824" s="840">
        <f>CEILING(67*$Z$1,0.1)</f>
        <v>87.10000000000001</v>
      </c>
      <c r="J824" s="844"/>
      <c r="K824" s="506"/>
      <c r="L824" s="502"/>
      <c r="M824" s="244"/>
    </row>
    <row r="825" spans="1:25" ht="16.5" customHeight="1">
      <c r="A825" s="56" t="s">
        <v>76</v>
      </c>
      <c r="B825" s="34" t="s">
        <v>83</v>
      </c>
      <c r="C825" s="840">
        <f>_xlfn.CEILING.MATH((C824+25*$Z$1),0.1)</f>
        <v>135.20000000000002</v>
      </c>
      <c r="D825" s="841"/>
      <c r="E825" s="840">
        <f>_xlfn.CEILING.MATH((E824+25*$Z$1),0.1)</f>
        <v>154.70000000000002</v>
      </c>
      <c r="F825" s="841"/>
      <c r="G825" s="840">
        <f>_xlfn.CEILING.MATH((G824+25*$Z$1),0.1)</f>
        <v>149.5</v>
      </c>
      <c r="H825" s="841"/>
      <c r="I825" s="840">
        <f>_xlfn.CEILING.MATH((I824+25*$Z$1),0.1)</f>
        <v>119.60000000000001</v>
      </c>
      <c r="J825" s="841"/>
      <c r="K825" s="537"/>
      <c r="L825" s="537"/>
      <c r="M825" s="244"/>
      <c r="X825"/>
      <c r="Y825"/>
    </row>
    <row r="826" spans="1:25" ht="17.25" customHeight="1">
      <c r="A826" s="56"/>
      <c r="B826" s="42" t="s">
        <v>116</v>
      </c>
      <c r="C826" s="840">
        <f>CEILING((C824*0.85),0.1)</f>
        <v>87.30000000000001</v>
      </c>
      <c r="D826" s="841"/>
      <c r="E826" s="840">
        <f>CEILING((E824*0.85),0.1)</f>
        <v>103.9</v>
      </c>
      <c r="F826" s="841"/>
      <c r="G826" s="840">
        <f>CEILING((G824*0.85),0.1)</f>
        <v>99.5</v>
      </c>
      <c r="H826" s="841"/>
      <c r="I826" s="840">
        <f>CEILING((I824*0.85),0.1)</f>
        <v>74.10000000000001</v>
      </c>
      <c r="J826" s="841"/>
      <c r="K826" s="537"/>
      <c r="L826" s="537"/>
      <c r="M826" s="244"/>
      <c r="V826"/>
      <c r="W826"/>
      <c r="X826"/>
      <c r="Y826"/>
    </row>
    <row r="827" spans="1:25" ht="17.25" customHeight="1">
      <c r="A827" s="120"/>
      <c r="B827" s="205" t="s">
        <v>115</v>
      </c>
      <c r="C827" s="840">
        <f>CEILING((C824*0.5),0.1)</f>
        <v>51.400000000000006</v>
      </c>
      <c r="D827" s="841"/>
      <c r="E827" s="840">
        <f>CEILING((E824*0.5),0.1)</f>
        <v>61.1</v>
      </c>
      <c r="F827" s="841"/>
      <c r="G827" s="840">
        <f>CEILING((G824*0.5),0.1)</f>
        <v>58.5</v>
      </c>
      <c r="H827" s="841"/>
      <c r="I827" s="840">
        <f>CEILING((I824*0.5),0.1)</f>
        <v>43.6</v>
      </c>
      <c r="J827" s="841"/>
      <c r="K827" s="440"/>
      <c r="L827" s="440"/>
      <c r="M827" s="244"/>
      <c r="V827"/>
      <c r="W827"/>
      <c r="X827"/>
      <c r="Y827"/>
    </row>
    <row r="828" spans="1:25" ht="17.25" customHeight="1">
      <c r="A828" s="56"/>
      <c r="B828" s="31" t="s">
        <v>180</v>
      </c>
      <c r="C828" s="840">
        <f>_xlfn.CEILING.MATH((C824+20*$Z$1),0.1)</f>
        <v>128.70000000000002</v>
      </c>
      <c r="D828" s="841"/>
      <c r="E828" s="840">
        <f>_xlfn.CEILING.MATH((E824+20*$Z$1),0.1)</f>
        <v>148.20000000000002</v>
      </c>
      <c r="F828" s="841"/>
      <c r="G828" s="840">
        <f>_xlfn.CEILING.MATH((G824+20*$Z$1),0.1)</f>
        <v>143</v>
      </c>
      <c r="H828" s="841"/>
      <c r="I828" s="840">
        <f>_xlfn.CEILING.MATH((I824+20*$Z$1),0.1)</f>
        <v>113.10000000000001</v>
      </c>
      <c r="J828" s="841"/>
      <c r="K828" s="440"/>
      <c r="L828" s="440"/>
      <c r="M828" s="244"/>
      <c r="X828"/>
      <c r="Y828"/>
    </row>
    <row r="829" spans="1:25" ht="17.25" customHeight="1" thickBot="1">
      <c r="A829" s="140" t="s">
        <v>927</v>
      </c>
      <c r="B829" s="49" t="s">
        <v>181</v>
      </c>
      <c r="C829" s="846">
        <f>_xlfn.CEILING.MATH((C828+25*$Z$1),0.1)</f>
        <v>161.20000000000002</v>
      </c>
      <c r="D829" s="848"/>
      <c r="E829" s="846">
        <f>_xlfn.CEILING.MATH((E828+25*$Z$1),0.1)</f>
        <v>180.70000000000002</v>
      </c>
      <c r="F829" s="848"/>
      <c r="G829" s="846">
        <f>_xlfn.CEILING.MATH((G828+25*$Z$1),0.1)</f>
        <v>175.5</v>
      </c>
      <c r="H829" s="848"/>
      <c r="I829" s="846">
        <f>_xlfn.CEILING.MATH((I828+25*$Z$1),0.1)</f>
        <v>145.6</v>
      </c>
      <c r="J829" s="848"/>
      <c r="K829" s="440"/>
      <c r="L829" s="440"/>
      <c r="M829" s="244"/>
      <c r="X829"/>
      <c r="Y829"/>
    </row>
    <row r="830" spans="1:14" ht="18" customHeight="1" thickTop="1">
      <c r="A830" s="99" t="s">
        <v>531</v>
      </c>
      <c r="B830" s="51"/>
      <c r="C830" s="3"/>
      <c r="D830" s="3"/>
      <c r="E830" s="3"/>
      <c r="F830" s="3"/>
      <c r="G830" s="3"/>
      <c r="H830" s="3"/>
      <c r="I830" s="3"/>
      <c r="J830" s="3"/>
      <c r="K830" s="440"/>
      <c r="L830" s="440"/>
      <c r="M830" s="122"/>
      <c r="N830" s="122"/>
    </row>
    <row r="831" spans="1:14" ht="18.75" customHeight="1">
      <c r="A831" s="99" t="s">
        <v>868</v>
      </c>
      <c r="B831" s="169"/>
      <c r="C831" s="3"/>
      <c r="D831" s="3"/>
      <c r="E831" s="3"/>
      <c r="F831" s="3"/>
      <c r="G831" s="3"/>
      <c r="H831" s="3"/>
      <c r="I831" s="3"/>
      <c r="J831" s="3"/>
      <c r="K831" s="537"/>
      <c r="L831" s="537"/>
      <c r="M831" s="122"/>
      <c r="N831" s="122"/>
    </row>
    <row r="832" spans="1:14" ht="15" customHeight="1" thickBot="1">
      <c r="A832" s="95"/>
      <c r="B832" s="170"/>
      <c r="C832" s="2"/>
      <c r="D832" s="2"/>
      <c r="E832" s="2"/>
      <c r="F832" s="2"/>
      <c r="G832" s="2"/>
      <c r="H832" s="2"/>
      <c r="I832" s="2"/>
      <c r="J832" s="2"/>
      <c r="K832" s="537"/>
      <c r="L832" s="537"/>
      <c r="M832" s="122"/>
      <c r="N832" s="122"/>
    </row>
    <row r="833" spans="1:14" ht="20.25" customHeight="1" thickTop="1">
      <c r="A833" s="93" t="s">
        <v>74</v>
      </c>
      <c r="B833" s="93"/>
      <c r="C833" s="889" t="s">
        <v>665</v>
      </c>
      <c r="D833" s="890"/>
      <c r="E833" s="858" t="s">
        <v>716</v>
      </c>
      <c r="F833" s="859"/>
      <c r="G833" s="860" t="s">
        <v>721</v>
      </c>
      <c r="H833" s="861"/>
      <c r="I833" s="860" t="s">
        <v>668</v>
      </c>
      <c r="J833" s="862"/>
      <c r="K833" s="604"/>
      <c r="L833" s="603"/>
      <c r="M833" s="747"/>
      <c r="N833" s="122"/>
    </row>
    <row r="834" spans="1:14" ht="17.25" customHeight="1">
      <c r="A834" s="142" t="s">
        <v>549</v>
      </c>
      <c r="B834" s="101" t="s">
        <v>550</v>
      </c>
      <c r="C834" s="892"/>
      <c r="D834" s="894"/>
      <c r="E834" s="892"/>
      <c r="F834" s="894"/>
      <c r="G834" s="892"/>
      <c r="H834" s="894"/>
      <c r="I834" s="892"/>
      <c r="J834" s="893"/>
      <c r="K834" s="842"/>
      <c r="L834" s="845"/>
      <c r="M834" s="747"/>
      <c r="N834" s="122"/>
    </row>
    <row r="835" spans="1:14" ht="16.5" customHeight="1">
      <c r="A835" s="56" t="s">
        <v>76</v>
      </c>
      <c r="B835" s="34" t="s">
        <v>551</v>
      </c>
      <c r="C835" s="842"/>
      <c r="D835" s="843"/>
      <c r="E835" s="842"/>
      <c r="F835" s="843"/>
      <c r="G835" s="842"/>
      <c r="H835" s="843"/>
      <c r="I835" s="842"/>
      <c r="J835" s="845"/>
      <c r="K835" s="842"/>
      <c r="L835" s="845"/>
      <c r="M835" s="747"/>
      <c r="N835" s="122"/>
    </row>
    <row r="836" spans="1:14" ht="13.5" customHeight="1">
      <c r="A836" s="56"/>
      <c r="B836" s="42" t="s">
        <v>116</v>
      </c>
      <c r="C836" s="842"/>
      <c r="D836" s="843"/>
      <c r="E836" s="842"/>
      <c r="F836" s="843"/>
      <c r="G836" s="842"/>
      <c r="H836" s="843"/>
      <c r="I836" s="842"/>
      <c r="J836" s="845"/>
      <c r="K836" s="842"/>
      <c r="L836" s="845"/>
      <c r="M836" s="747"/>
      <c r="N836" s="122"/>
    </row>
    <row r="837" spans="1:14" ht="16.5" customHeight="1">
      <c r="A837" s="449" t="s">
        <v>179</v>
      </c>
      <c r="B837" s="205" t="s">
        <v>115</v>
      </c>
      <c r="C837" s="842"/>
      <c r="D837" s="843"/>
      <c r="E837" s="842"/>
      <c r="F837" s="843"/>
      <c r="G837" s="842"/>
      <c r="H837" s="843"/>
      <c r="I837" s="842"/>
      <c r="J837" s="845"/>
      <c r="K837" s="842"/>
      <c r="L837" s="845"/>
      <c r="M837" s="747"/>
      <c r="N837" s="122"/>
    </row>
    <row r="838" spans="1:14" ht="15" customHeight="1">
      <c r="A838" s="56"/>
      <c r="B838" s="12" t="s">
        <v>552</v>
      </c>
      <c r="C838" s="842"/>
      <c r="D838" s="843"/>
      <c r="E838" s="842"/>
      <c r="F838" s="843"/>
      <c r="G838" s="842"/>
      <c r="H838" s="843"/>
      <c r="I838" s="842"/>
      <c r="J838" s="845"/>
      <c r="K838" s="842"/>
      <c r="L838" s="845"/>
      <c r="M838" s="747"/>
      <c r="N838" s="122"/>
    </row>
    <row r="839" spans="1:14" ht="16.5" customHeight="1">
      <c r="A839" s="56"/>
      <c r="B839" s="12" t="s">
        <v>553</v>
      </c>
      <c r="C839" s="842"/>
      <c r="D839" s="843"/>
      <c r="E839" s="842"/>
      <c r="F839" s="843"/>
      <c r="G839" s="842"/>
      <c r="H839" s="843"/>
      <c r="I839" s="842"/>
      <c r="J839" s="845"/>
      <c r="K839" s="842"/>
      <c r="L839" s="845"/>
      <c r="M839" s="747"/>
      <c r="N839" s="122"/>
    </row>
    <row r="840" spans="1:14" ht="16.5" customHeight="1">
      <c r="A840" s="56"/>
      <c r="B840" s="12" t="s">
        <v>554</v>
      </c>
      <c r="C840" s="842"/>
      <c r="D840" s="843"/>
      <c r="E840" s="842"/>
      <c r="F840" s="843"/>
      <c r="G840" s="842"/>
      <c r="H840" s="843"/>
      <c r="I840" s="842"/>
      <c r="J840" s="845"/>
      <c r="K840" s="842"/>
      <c r="L840" s="845"/>
      <c r="M840" s="747"/>
      <c r="N840" s="122"/>
    </row>
    <row r="841" spans="1:14" ht="15.75" customHeight="1" thickBot="1">
      <c r="A841" s="140" t="s">
        <v>927</v>
      </c>
      <c r="B841" s="49" t="s">
        <v>555</v>
      </c>
      <c r="C841" s="883"/>
      <c r="D841" s="884"/>
      <c r="E841" s="883"/>
      <c r="F841" s="884"/>
      <c r="G841" s="883"/>
      <c r="H841" s="884"/>
      <c r="I841" s="883"/>
      <c r="J841" s="891"/>
      <c r="K841" s="842"/>
      <c r="L841" s="845"/>
      <c r="M841" s="747"/>
      <c r="N841" s="122"/>
    </row>
    <row r="842" spans="1:14" ht="15.75" customHeight="1" thickTop="1">
      <c r="A842" s="834" t="s">
        <v>557</v>
      </c>
      <c r="B842" s="834"/>
      <c r="C842" s="834"/>
      <c r="D842" s="834"/>
      <c r="E842" s="834"/>
      <c r="F842" s="834"/>
      <c r="G842" s="834"/>
      <c r="H842" s="834"/>
      <c r="I842" s="834"/>
      <c r="J842" s="834"/>
      <c r="K842" s="677"/>
      <c r="L842" s="677"/>
      <c r="M842" s="122"/>
      <c r="N842" s="122"/>
    </row>
    <row r="843" spans="1:14" ht="18" customHeight="1">
      <c r="A843" s="99" t="s">
        <v>556</v>
      </c>
      <c r="B843" s="169"/>
      <c r="C843" s="3"/>
      <c r="D843" s="3"/>
      <c r="E843" s="3"/>
      <c r="F843" s="3"/>
      <c r="G843" s="3"/>
      <c r="H843" s="3"/>
      <c r="I843" s="3"/>
      <c r="J843" s="3"/>
      <c r="K843" s="537"/>
      <c r="L843" s="537"/>
      <c r="M843" s="122"/>
      <c r="N843" s="122"/>
    </row>
    <row r="844" spans="1:14" ht="20.25" customHeight="1" thickBot="1">
      <c r="A844" s="95"/>
      <c r="B844" s="170"/>
      <c r="C844" s="2"/>
      <c r="D844" s="2"/>
      <c r="E844" s="2"/>
      <c r="F844" s="2"/>
      <c r="G844" s="2"/>
      <c r="H844" s="2"/>
      <c r="I844" s="2"/>
      <c r="J844" s="2"/>
      <c r="K844" s="537"/>
      <c r="L844" s="537"/>
      <c r="M844" s="122"/>
      <c r="N844" s="122"/>
    </row>
    <row r="845" spans="1:16" ht="27" customHeight="1" thickTop="1">
      <c r="A845" s="93" t="s">
        <v>74</v>
      </c>
      <c r="B845" s="301"/>
      <c r="C845" s="889" t="s">
        <v>665</v>
      </c>
      <c r="D845" s="890"/>
      <c r="E845" s="858" t="s">
        <v>716</v>
      </c>
      <c r="F845" s="859"/>
      <c r="G845" s="860" t="s">
        <v>721</v>
      </c>
      <c r="H845" s="861"/>
      <c r="I845" s="860" t="s">
        <v>668</v>
      </c>
      <c r="J845" s="862"/>
      <c r="K845" s="538"/>
      <c r="L845" s="537"/>
      <c r="M845" s="122"/>
      <c r="N845" s="122"/>
      <c r="O845" s="931"/>
      <c r="P845" s="931"/>
    </row>
    <row r="846" spans="1:16" ht="17.25" customHeight="1">
      <c r="A846" s="329" t="s">
        <v>272</v>
      </c>
      <c r="B846" s="384" t="s">
        <v>75</v>
      </c>
      <c r="C846" s="840">
        <f>CEILING(120*$Z$1,0.1)</f>
        <v>156</v>
      </c>
      <c r="D846" s="844"/>
      <c r="E846" s="840">
        <f>CEILING(180*$Z$1,0.1)</f>
        <v>234</v>
      </c>
      <c r="F846" s="844"/>
      <c r="G846" s="840">
        <f>CEILING(155*$Z$1,0.1)</f>
        <v>201.5</v>
      </c>
      <c r="H846" s="844"/>
      <c r="I846" s="840">
        <f>CEILING(140*$Z$1,0.1)</f>
        <v>182</v>
      </c>
      <c r="J846" s="844"/>
      <c r="K846" s="538"/>
      <c r="L846" s="537"/>
      <c r="M846" s="122"/>
      <c r="N846" s="122"/>
      <c r="O846" s="3"/>
      <c r="P846" s="288"/>
    </row>
    <row r="847" spans="1:16" ht="17.25" customHeight="1">
      <c r="A847" s="379"/>
      <c r="B847" s="89" t="s">
        <v>77</v>
      </c>
      <c r="C847" s="840">
        <f>_xlfn.CEILING.MATH((C846+60*$Z$1),0.1)</f>
        <v>234</v>
      </c>
      <c r="D847" s="841"/>
      <c r="E847" s="840">
        <f>_xlfn.CEILING.MATH((E846+60*$Z$1),0.1)</f>
        <v>312</v>
      </c>
      <c r="F847" s="841"/>
      <c r="G847" s="840">
        <f>_xlfn.CEILING.MATH((G846+60*$Z$1),0.1)</f>
        <v>279.5</v>
      </c>
      <c r="H847" s="841"/>
      <c r="I847" s="840">
        <f>_xlfn.CEILING.MATH((I846+60*$Z$1),0.1)</f>
        <v>260</v>
      </c>
      <c r="J847" s="844"/>
      <c r="K847" s="665"/>
      <c r="L847" s="503"/>
      <c r="M847" s="122"/>
      <c r="N847" s="122"/>
      <c r="O847" s="3"/>
      <c r="P847" s="288"/>
    </row>
    <row r="848" spans="1:16" ht="17.25" customHeight="1">
      <c r="A848" s="379"/>
      <c r="B848" s="89" t="s">
        <v>535</v>
      </c>
      <c r="C848" s="840">
        <f>_xlfn.CEILING.MATH((C846+10*$Z$1),0.1)</f>
        <v>169</v>
      </c>
      <c r="D848" s="841"/>
      <c r="E848" s="840">
        <f>_xlfn.CEILING.MATH((E846+10*$Z$1),0.1)</f>
        <v>247</v>
      </c>
      <c r="F848" s="841"/>
      <c r="G848" s="840">
        <f>_xlfn.CEILING.MATH((G846+10*$Z$1),0.1)</f>
        <v>214.5</v>
      </c>
      <c r="H848" s="841"/>
      <c r="I848" s="840">
        <f>_xlfn.CEILING.MATH((I846+10*$Z$1),0.1)</f>
        <v>195</v>
      </c>
      <c r="J848" s="841"/>
      <c r="K848" s="503"/>
      <c r="L848" s="503"/>
      <c r="M848" s="122"/>
      <c r="N848" s="122"/>
      <c r="O848" s="3"/>
      <c r="P848" s="288"/>
    </row>
    <row r="849" spans="1:16" ht="17.25" customHeight="1">
      <c r="A849" s="379"/>
      <c r="B849" s="89" t="s">
        <v>538</v>
      </c>
      <c r="C849" s="840">
        <f>_xlfn.CEILING.MATH((C848+60*$Z$1),0.1)</f>
        <v>247</v>
      </c>
      <c r="D849" s="841"/>
      <c r="E849" s="840">
        <f>_xlfn.CEILING.MATH((E848+60*$Z$1),0.1)</f>
        <v>325</v>
      </c>
      <c r="F849" s="841"/>
      <c r="G849" s="840">
        <f>_xlfn.CEILING.MATH((G848+60*$Z$1),0.1)</f>
        <v>292.5</v>
      </c>
      <c r="H849" s="841"/>
      <c r="I849" s="840">
        <f>_xlfn.CEILING.MATH((I848+60*$Z$1),0.1)</f>
        <v>273</v>
      </c>
      <c r="J849" s="841"/>
      <c r="K849" s="503"/>
      <c r="L849" s="503"/>
      <c r="M849" s="122"/>
      <c r="N849" s="122"/>
      <c r="O849" s="3"/>
      <c r="P849" s="288"/>
    </row>
    <row r="850" spans="1:16" ht="17.25" customHeight="1">
      <c r="A850" s="379"/>
      <c r="B850" s="674" t="s">
        <v>536</v>
      </c>
      <c r="C850" s="840">
        <f>_xlfn.CEILING.MATH((C846+12*$Z$1),0.1)</f>
        <v>171.60000000000002</v>
      </c>
      <c r="D850" s="841"/>
      <c r="E850" s="840">
        <f>_xlfn.CEILING.MATH((E846+12*$Z$1),0.1)</f>
        <v>249.60000000000002</v>
      </c>
      <c r="F850" s="841"/>
      <c r="G850" s="840">
        <f>_xlfn.CEILING.MATH((G846+12*$Z$1),0.1)</f>
        <v>217.10000000000002</v>
      </c>
      <c r="H850" s="841"/>
      <c r="I850" s="840">
        <f>_xlfn.CEILING.MATH((I846+12*$Z$1),0.1)</f>
        <v>197.60000000000002</v>
      </c>
      <c r="J850" s="841"/>
      <c r="K850" s="537"/>
      <c r="L850" s="537"/>
      <c r="M850" s="122"/>
      <c r="N850" s="122"/>
      <c r="O850" s="3"/>
      <c r="P850" s="288"/>
    </row>
    <row r="851" spans="1:16" ht="17.25" customHeight="1">
      <c r="A851" s="435"/>
      <c r="B851" s="674" t="s">
        <v>537</v>
      </c>
      <c r="C851" s="840">
        <f>_xlfn.CEILING.MATH((C850+60*$Z$1),0.1)</f>
        <v>249.60000000000002</v>
      </c>
      <c r="D851" s="841"/>
      <c r="E851" s="840">
        <f>_xlfn.CEILING.MATH((E850+60*$Z$1),0.1)</f>
        <v>327.6</v>
      </c>
      <c r="F851" s="841"/>
      <c r="G851" s="840">
        <f>_xlfn.CEILING.MATH((G850+60*$Z$1),0.1)</f>
        <v>295.1</v>
      </c>
      <c r="H851" s="841"/>
      <c r="I851" s="840">
        <f>_xlfn.CEILING.MATH((I850+60*$Z$1),0.1)</f>
        <v>275.6</v>
      </c>
      <c r="J851" s="841"/>
      <c r="K851" s="537"/>
      <c r="L851" s="537"/>
      <c r="M851" s="122"/>
      <c r="N851" s="122"/>
      <c r="O851" s="3"/>
      <c r="P851" s="288"/>
    </row>
    <row r="852" spans="1:16" ht="17.25" customHeight="1">
      <c r="A852" s="435"/>
      <c r="B852" s="14" t="s">
        <v>273</v>
      </c>
      <c r="C852" s="840">
        <f>_xlfn.CEILING.MATH((C846+120*$Z$1),0.1)</f>
        <v>312</v>
      </c>
      <c r="D852" s="841"/>
      <c r="E852" s="840">
        <f>_xlfn.CEILING.MATH((E846+120*$Z$1),0.1)</f>
        <v>390</v>
      </c>
      <c r="F852" s="841"/>
      <c r="G852" s="840">
        <f>_xlfn.CEILING.MATH((G846+120*$Z$1),0.1)</f>
        <v>357.5</v>
      </c>
      <c r="H852" s="841"/>
      <c r="I852" s="840">
        <f>_xlfn.CEILING.MATH((I846+120*$Z$1),0.1)</f>
        <v>338</v>
      </c>
      <c r="J852" s="841"/>
      <c r="K852" s="538"/>
      <c r="L852" s="537"/>
      <c r="M852" s="122"/>
      <c r="N852" s="122"/>
      <c r="O852" s="3"/>
      <c r="P852" s="288"/>
    </row>
    <row r="853" spans="1:16" ht="17.25" customHeight="1" thickBot="1">
      <c r="A853" s="398" t="s">
        <v>926</v>
      </c>
      <c r="B853" s="15" t="s">
        <v>274</v>
      </c>
      <c r="C853" s="846">
        <f>_xlfn.CEILING.MATH((C852+150*$Z$1),0.1)</f>
        <v>507</v>
      </c>
      <c r="D853" s="848"/>
      <c r="E853" s="846">
        <f>_xlfn.CEILING.MATH((E852+150*$Z$1),0.1)</f>
        <v>585</v>
      </c>
      <c r="F853" s="848"/>
      <c r="G853" s="846">
        <f>_xlfn.CEILING.MATH((G852+150*$Z$1),0.1)</f>
        <v>552.5</v>
      </c>
      <c r="H853" s="848"/>
      <c r="I853" s="846">
        <f>_xlfn.CEILING.MATH((I852+150*$Z$1),0.1)</f>
        <v>533</v>
      </c>
      <c r="J853" s="848"/>
      <c r="K853" s="503"/>
      <c r="L853" s="503"/>
      <c r="M853" s="122"/>
      <c r="N853" s="122"/>
      <c r="O853" s="3"/>
      <c r="P853" s="288"/>
    </row>
    <row r="854" spans="1:16" ht="17.25" customHeight="1" thickTop="1">
      <c r="A854" s="1092" t="s">
        <v>309</v>
      </c>
      <c r="B854" s="1056"/>
      <c r="C854" s="1056"/>
      <c r="D854" s="1056"/>
      <c r="E854" s="1056"/>
      <c r="F854" s="1056"/>
      <c r="G854" s="1056"/>
      <c r="H854" s="1056"/>
      <c r="I854" s="1056"/>
      <c r="J854" s="1057"/>
      <c r="K854" s="503"/>
      <c r="L854" s="503"/>
      <c r="M854" s="122"/>
      <c r="N854" s="122"/>
      <c r="O854" s="3"/>
      <c r="P854" s="288"/>
    </row>
    <row r="855" spans="1:16" ht="17.25" customHeight="1" thickBot="1">
      <c r="A855" s="1008"/>
      <c r="B855" s="1008"/>
      <c r="C855" s="1008"/>
      <c r="D855" s="1008"/>
      <c r="E855" s="1008"/>
      <c r="F855" s="1008"/>
      <c r="G855" s="1008"/>
      <c r="H855" s="1008"/>
      <c r="I855" s="1008"/>
      <c r="J855" s="1008"/>
      <c r="K855" s="490"/>
      <c r="L855" s="490"/>
      <c r="M855" s="122"/>
      <c r="N855" s="122"/>
      <c r="O855" s="3"/>
      <c r="P855" s="3"/>
    </row>
    <row r="856" spans="1:14" ht="23.25" customHeight="1" thickTop="1">
      <c r="A856" s="93" t="s">
        <v>74</v>
      </c>
      <c r="B856" s="444"/>
      <c r="C856" s="889" t="s">
        <v>665</v>
      </c>
      <c r="D856" s="890"/>
      <c r="E856" s="858" t="s">
        <v>716</v>
      </c>
      <c r="F856" s="859"/>
      <c r="G856" s="860" t="s">
        <v>721</v>
      </c>
      <c r="H856" s="861"/>
      <c r="I856" s="860" t="s">
        <v>668</v>
      </c>
      <c r="J856" s="862"/>
      <c r="K856" s="523"/>
      <c r="L856" s="490"/>
      <c r="M856" s="122"/>
      <c r="N856" s="122"/>
    </row>
    <row r="857" spans="1:14" ht="18" customHeight="1">
      <c r="A857" s="339" t="s">
        <v>4</v>
      </c>
      <c r="B857" s="101" t="s">
        <v>82</v>
      </c>
      <c r="C857" s="840">
        <f>CEILING(55*$Z$1,0.1)</f>
        <v>71.5</v>
      </c>
      <c r="D857" s="844"/>
      <c r="E857" s="840">
        <f>CEILING(100*$Z$1,0.1)</f>
        <v>130</v>
      </c>
      <c r="F857" s="844"/>
      <c r="G857" s="840">
        <f>CEILING(79*$Z$1,0.1)</f>
        <v>102.7</v>
      </c>
      <c r="H857" s="844"/>
      <c r="I857" s="840">
        <f>CEILING(66*$Z$1,0.1)</f>
        <v>85.80000000000001</v>
      </c>
      <c r="J857" s="844"/>
      <c r="K857" s="521"/>
      <c r="L857" s="241"/>
      <c r="M857" s="3"/>
      <c r="N857" s="3"/>
    </row>
    <row r="858" spans="1:14" ht="17.25" customHeight="1">
      <c r="A858" s="262" t="s">
        <v>76</v>
      </c>
      <c r="B858" s="34" t="s">
        <v>83</v>
      </c>
      <c r="C858" s="840">
        <f>_xlfn.CEILING.MATH((C857+20*$Z$1),0.1)</f>
        <v>97.5</v>
      </c>
      <c r="D858" s="841"/>
      <c r="E858" s="840">
        <f>_xlfn.CEILING.MATH((E857+20*$Z$1),0.1)</f>
        <v>156</v>
      </c>
      <c r="F858" s="841"/>
      <c r="G858" s="840">
        <f>_xlfn.CEILING.MATH((G857+20*$Z$1),0.1)</f>
        <v>128.70000000000002</v>
      </c>
      <c r="H858" s="841"/>
      <c r="I858" s="840">
        <f>_xlfn.CEILING.MATH((I857+20*$Z$1),0.1)</f>
        <v>111.80000000000001</v>
      </c>
      <c r="J858" s="841"/>
      <c r="K858" s="440"/>
      <c r="L858" s="241"/>
      <c r="M858" s="3"/>
      <c r="N858" s="3"/>
    </row>
    <row r="859" spans="1:14" ht="15">
      <c r="A859" s="262"/>
      <c r="B859" s="31" t="s">
        <v>116</v>
      </c>
      <c r="C859" s="840">
        <f>CEILING((C857*0.85),0.1)</f>
        <v>60.800000000000004</v>
      </c>
      <c r="D859" s="841"/>
      <c r="E859" s="840">
        <f>CEILING((E857*0.85),0.1)</f>
        <v>110.5</v>
      </c>
      <c r="F859" s="841"/>
      <c r="G859" s="840">
        <f>CEILING((G857*0.85),0.1)</f>
        <v>87.30000000000001</v>
      </c>
      <c r="H859" s="841"/>
      <c r="I859" s="840">
        <f>CEILING((I857*0.85),0.1)</f>
        <v>73</v>
      </c>
      <c r="J859" s="841"/>
      <c r="K859" s="440"/>
      <c r="L859" s="241"/>
      <c r="M859" s="3"/>
      <c r="N859" s="3"/>
    </row>
    <row r="860" spans="1:14" ht="15">
      <c r="A860" s="262"/>
      <c r="B860" s="212" t="s">
        <v>115</v>
      </c>
      <c r="C860" s="842">
        <v>0</v>
      </c>
      <c r="D860" s="843"/>
      <c r="E860" s="842">
        <v>0</v>
      </c>
      <c r="F860" s="843"/>
      <c r="G860" s="842">
        <v>0</v>
      </c>
      <c r="H860" s="843"/>
      <c r="I860" s="842">
        <v>0</v>
      </c>
      <c r="J860" s="843"/>
      <c r="K860" s="440"/>
      <c r="L860" s="241"/>
      <c r="M860" s="26"/>
      <c r="N860" s="26"/>
    </row>
    <row r="861" spans="1:14" ht="15">
      <c r="A861" s="262"/>
      <c r="B861" s="13" t="s">
        <v>93</v>
      </c>
      <c r="C861" s="840">
        <f>_xlfn.CEILING.MATH((C857+8*$Z$1),0.1)</f>
        <v>81.9</v>
      </c>
      <c r="D861" s="841"/>
      <c r="E861" s="840">
        <f>_xlfn.CEILING.MATH((E857+8*$Z$1),0.1)</f>
        <v>140.4</v>
      </c>
      <c r="F861" s="841"/>
      <c r="G861" s="840">
        <f>_xlfn.CEILING.MATH((G857+8*$Z$1),0.1)</f>
        <v>113.10000000000001</v>
      </c>
      <c r="H861" s="841"/>
      <c r="I861" s="840">
        <f>_xlfn.CEILING.MATH((I857+8*$Z$1),0.1)</f>
        <v>96.2</v>
      </c>
      <c r="J861" s="841"/>
      <c r="K861" s="440"/>
      <c r="L861" s="241"/>
      <c r="M861" s="26"/>
      <c r="N861" s="26"/>
    </row>
    <row r="862" spans="1:14" ht="15">
      <c r="A862" s="262"/>
      <c r="B862" s="13" t="s">
        <v>85</v>
      </c>
      <c r="C862" s="840">
        <f>_xlfn.CEILING.MATH((C861+20*$Z$1),0.1)</f>
        <v>107.9</v>
      </c>
      <c r="D862" s="841"/>
      <c r="E862" s="840">
        <f>_xlfn.CEILING.MATH((E861+20*$Z$1),0.1)</f>
        <v>166.4</v>
      </c>
      <c r="F862" s="841"/>
      <c r="G862" s="840">
        <f>_xlfn.CEILING.MATH((G861+20*$Z$1),0.1)</f>
        <v>139.1</v>
      </c>
      <c r="H862" s="841"/>
      <c r="I862" s="840">
        <f>_xlfn.CEILING.MATH((I861+20*$Z$1),0.1)</f>
        <v>122.2</v>
      </c>
      <c r="J862" s="841"/>
      <c r="K862" s="440"/>
      <c r="L862" s="241"/>
      <c r="M862" s="18"/>
      <c r="N862" s="226"/>
    </row>
    <row r="863" spans="1:14" ht="15">
      <c r="A863" s="262"/>
      <c r="B863" s="13" t="s">
        <v>5</v>
      </c>
      <c r="C863" s="840">
        <f>_xlfn.CEILING.MATH((C857+25*$Z$1),0.1)</f>
        <v>104</v>
      </c>
      <c r="D863" s="841"/>
      <c r="E863" s="840">
        <f>_xlfn.CEILING.MATH((E857+25*$Z$1),0.1)</f>
        <v>162.5</v>
      </c>
      <c r="F863" s="841"/>
      <c r="G863" s="840">
        <f>_xlfn.CEILING.MATH((G857+25*$Z$1),0.1)</f>
        <v>135.20000000000002</v>
      </c>
      <c r="H863" s="841"/>
      <c r="I863" s="840">
        <f>_xlfn.CEILING.MATH((I857+25*$Z$1),0.1)</f>
        <v>118.30000000000001</v>
      </c>
      <c r="J863" s="841"/>
      <c r="K863" s="440"/>
      <c r="L863" s="241"/>
      <c r="M863" s="18"/>
      <c r="N863" s="226"/>
    </row>
    <row r="864" spans="1:14" ht="15">
      <c r="A864" s="262"/>
      <c r="B864" s="13" t="s">
        <v>3</v>
      </c>
      <c r="C864" s="840">
        <f>_xlfn.CEILING.MATH((C863+30*$Z$1),0.1)</f>
        <v>143</v>
      </c>
      <c r="D864" s="841"/>
      <c r="E864" s="840">
        <f>_xlfn.CEILING.MATH((E863+30*$Z$1),0.1)</f>
        <v>201.5</v>
      </c>
      <c r="F864" s="841"/>
      <c r="G864" s="840">
        <f>_xlfn.CEILING.MATH((G863+30*$Z$1),0.1)</f>
        <v>174.20000000000002</v>
      </c>
      <c r="H864" s="841"/>
      <c r="I864" s="840">
        <f>_xlfn.CEILING.MATH((I863+30*$Z$1),0.1)</f>
        <v>157.3</v>
      </c>
      <c r="J864" s="841"/>
      <c r="K864" s="440"/>
      <c r="L864" s="241"/>
      <c r="M864" s="211"/>
      <c r="N864" s="211"/>
    </row>
    <row r="865" spans="1:14" ht="17.25" customHeight="1">
      <c r="A865" s="262"/>
      <c r="B865" s="13" t="s">
        <v>533</v>
      </c>
      <c r="C865" s="840">
        <f>_xlfn.CEILING.MATH((C857+30*$Z$1),0.1)</f>
        <v>110.5</v>
      </c>
      <c r="D865" s="841"/>
      <c r="E865" s="840">
        <f>_xlfn.CEILING.MATH((E857+30*$Z$1),0.1)</f>
        <v>169</v>
      </c>
      <c r="F865" s="841"/>
      <c r="G865" s="840">
        <f>_xlfn.CEILING.MATH((G857+30*$Z$1),0.1)</f>
        <v>141.70000000000002</v>
      </c>
      <c r="H865" s="841"/>
      <c r="I865" s="840">
        <f>_xlfn.CEILING.MATH((I857+30*$Z$1),0.1)</f>
        <v>124.80000000000001</v>
      </c>
      <c r="J865" s="841"/>
      <c r="K865" s="440"/>
      <c r="L865" s="241"/>
      <c r="M865" s="217"/>
      <c r="N865" s="211"/>
    </row>
    <row r="866" spans="1:14" ht="16.5" customHeight="1" thickBot="1">
      <c r="A866" s="231" t="s">
        <v>925</v>
      </c>
      <c r="B866" s="152" t="s">
        <v>6</v>
      </c>
      <c r="C866" s="846">
        <f>_xlfn.CEILING.MATH((C865+30*$Z$1),0.1)</f>
        <v>149.5</v>
      </c>
      <c r="D866" s="848"/>
      <c r="E866" s="846">
        <f>_xlfn.CEILING.MATH((E865+30*$Z$1),0.1)</f>
        <v>208</v>
      </c>
      <c r="F866" s="848"/>
      <c r="G866" s="846">
        <f>_xlfn.CEILING.MATH((G865+30*$Z$1),0.1)</f>
        <v>180.70000000000002</v>
      </c>
      <c r="H866" s="848"/>
      <c r="I866" s="846">
        <f>_xlfn.CEILING.MATH((I865+30*$Z$1),0.1)</f>
        <v>163.8</v>
      </c>
      <c r="J866" s="848"/>
      <c r="K866" s="440"/>
      <c r="L866" s="440"/>
      <c r="M866" s="18"/>
      <c r="N866" s="226"/>
    </row>
    <row r="867" spans="1:14" ht="16.5" customHeight="1" thickTop="1">
      <c r="A867" s="300" t="s">
        <v>534</v>
      </c>
      <c r="B867" s="51"/>
      <c r="C867" s="670"/>
      <c r="D867" s="670"/>
      <c r="E867" s="670"/>
      <c r="F867" s="670"/>
      <c r="G867" s="670"/>
      <c r="H867" s="670"/>
      <c r="I867" s="670"/>
      <c r="J867" s="670"/>
      <c r="K867" s="440"/>
      <c r="L867" s="440"/>
      <c r="M867" s="18"/>
      <c r="N867" s="226"/>
    </row>
    <row r="868" spans="1:14" ht="18" customHeight="1" thickBot="1">
      <c r="A868" s="150"/>
      <c r="B868" s="150"/>
      <c r="C868" s="150"/>
      <c r="D868" s="150"/>
      <c r="E868" s="150"/>
      <c r="F868" s="150"/>
      <c r="G868" s="150"/>
      <c r="H868" s="150"/>
      <c r="I868" s="150"/>
      <c r="J868" s="150"/>
      <c r="K868" s="490"/>
      <c r="L868" s="490"/>
      <c r="M868" s="18"/>
      <c r="N868" s="226"/>
    </row>
    <row r="869" spans="1:14" ht="23.25" customHeight="1" thickTop="1">
      <c r="A869" s="93" t="s">
        <v>74</v>
      </c>
      <c r="B869" s="207"/>
      <c r="C869" s="889" t="s">
        <v>665</v>
      </c>
      <c r="D869" s="890"/>
      <c r="E869" s="858" t="s">
        <v>716</v>
      </c>
      <c r="F869" s="859"/>
      <c r="G869" s="860" t="s">
        <v>721</v>
      </c>
      <c r="H869" s="861"/>
      <c r="I869" s="860" t="s">
        <v>668</v>
      </c>
      <c r="J869" s="862"/>
      <c r="K869" s="772"/>
      <c r="L869" s="539"/>
      <c r="M869" s="18"/>
      <c r="N869" s="226"/>
    </row>
    <row r="870" spans="1:14" ht="15" customHeight="1">
      <c r="A870" s="257" t="s">
        <v>357</v>
      </c>
      <c r="B870" s="381" t="s">
        <v>75</v>
      </c>
      <c r="C870" s="837">
        <f>CEILING(59*$Z$1,0.1)</f>
        <v>76.7</v>
      </c>
      <c r="D870" s="838"/>
      <c r="E870" s="837">
        <f>CEILING(104*$Z$1,0.1)</f>
        <v>135.20000000000002</v>
      </c>
      <c r="F870" s="838"/>
      <c r="G870" s="837">
        <f>CEILING(83*$Z$1,0.1)</f>
        <v>107.9</v>
      </c>
      <c r="H870" s="838"/>
      <c r="I870" s="837">
        <f>CEILING(70*$Z$1,0.1)</f>
        <v>91</v>
      </c>
      <c r="J870" s="838"/>
      <c r="K870" s="506"/>
      <c r="L870" s="502"/>
      <c r="M870" s="18"/>
      <c r="N870" s="226"/>
    </row>
    <row r="871" spans="1:14" ht="15" customHeight="1">
      <c r="A871" s="56" t="s">
        <v>76</v>
      </c>
      <c r="B871" s="382" t="s">
        <v>77</v>
      </c>
      <c r="C871" s="840">
        <f>_xlfn.CEILING.MATH((C870+25*$Z$1),0.1)</f>
        <v>109.2</v>
      </c>
      <c r="D871" s="841"/>
      <c r="E871" s="840">
        <f>_xlfn.CEILING.MATH((E870+25*$Z$1),0.1)</f>
        <v>167.70000000000002</v>
      </c>
      <c r="F871" s="841"/>
      <c r="G871" s="840">
        <f>_xlfn.CEILING.MATH((G870+25*$Z$1),0.1)</f>
        <v>140.4</v>
      </c>
      <c r="H871" s="841"/>
      <c r="I871" s="840">
        <f>_xlfn.CEILING.MATH((I870+25*$Z$1),0.1)</f>
        <v>123.5</v>
      </c>
      <c r="J871" s="841"/>
      <c r="K871" s="502"/>
      <c r="L871" s="502"/>
      <c r="M871" s="18"/>
      <c r="N871" s="226"/>
    </row>
    <row r="872" spans="1:14" ht="15" customHeight="1">
      <c r="A872" s="56"/>
      <c r="B872" s="60" t="s">
        <v>116</v>
      </c>
      <c r="C872" s="840">
        <f>CEILING((C870*0.85),0.1)</f>
        <v>65.2</v>
      </c>
      <c r="D872" s="841"/>
      <c r="E872" s="840">
        <f>CEILING((E870*0.85),0.1)</f>
        <v>115</v>
      </c>
      <c r="F872" s="841"/>
      <c r="G872" s="840">
        <f>CEILING((G870*0.85),0.1)</f>
        <v>91.80000000000001</v>
      </c>
      <c r="H872" s="841"/>
      <c r="I872" s="840">
        <f>CEILING((I870*0.85),0.1)</f>
        <v>77.4</v>
      </c>
      <c r="J872" s="841"/>
      <c r="K872" s="502"/>
      <c r="L872" s="502"/>
      <c r="M872" s="18"/>
      <c r="N872" s="226"/>
    </row>
    <row r="873" spans="1:14" ht="15" customHeight="1">
      <c r="A873" s="243"/>
      <c r="B873" s="367" t="s">
        <v>115</v>
      </c>
      <c r="C873" s="840">
        <f>CEILING((C870*0.5),0.1)</f>
        <v>38.400000000000006</v>
      </c>
      <c r="D873" s="841"/>
      <c r="E873" s="840">
        <f>CEILING((E870*0.5),0.1)</f>
        <v>67.60000000000001</v>
      </c>
      <c r="F873" s="841"/>
      <c r="G873" s="840">
        <f>CEILING((G870*0.5),0.1)</f>
        <v>54</v>
      </c>
      <c r="H873" s="841"/>
      <c r="I873" s="840">
        <f>CEILING((I870*0.5),0.1)</f>
        <v>45.5</v>
      </c>
      <c r="J873" s="841"/>
      <c r="K873" s="502"/>
      <c r="L873" s="502"/>
      <c r="M873" s="18"/>
      <c r="N873" s="226"/>
    </row>
    <row r="874" spans="1:14" ht="15" customHeight="1">
      <c r="A874" s="383"/>
      <c r="B874" s="367" t="s">
        <v>307</v>
      </c>
      <c r="C874" s="840">
        <f>_xlfn.CEILING.MATH((C870+8*$Z$1),0.1)</f>
        <v>87.10000000000001</v>
      </c>
      <c r="D874" s="841"/>
      <c r="E874" s="840">
        <f>_xlfn.CEILING.MATH((E870+8*$Z$1),0.1)</f>
        <v>145.6</v>
      </c>
      <c r="F874" s="841"/>
      <c r="G874" s="840">
        <f>_xlfn.CEILING.MATH((G870+8*$Z$1),0.1)</f>
        <v>118.30000000000001</v>
      </c>
      <c r="H874" s="841"/>
      <c r="I874" s="840">
        <f>_xlfn.CEILING.MATH((I870+8*$Z$1),0.1)</f>
        <v>101.4</v>
      </c>
      <c r="J874" s="841"/>
      <c r="K874" s="520"/>
      <c r="L874" s="520"/>
      <c r="M874" s="18"/>
      <c r="N874" s="226"/>
    </row>
    <row r="875" spans="1:14" ht="15" customHeight="1">
      <c r="A875" s="383"/>
      <c r="B875" s="367" t="s">
        <v>308</v>
      </c>
      <c r="C875" s="840">
        <f>_xlfn.CEILING.MATH((C874+25*$Z$1),0.1)</f>
        <v>119.60000000000001</v>
      </c>
      <c r="D875" s="841"/>
      <c r="E875" s="840">
        <f>_xlfn.CEILING.MATH((E874+25*$Z$1),0.1)</f>
        <v>178.10000000000002</v>
      </c>
      <c r="F875" s="841"/>
      <c r="G875" s="840">
        <f>_xlfn.CEILING.MATH((G874+25*$Z$1),0.1)</f>
        <v>150.8</v>
      </c>
      <c r="H875" s="841"/>
      <c r="I875" s="840">
        <f>_xlfn.CEILING.MATH((I874+25*$Z$1),0.1)</f>
        <v>133.9</v>
      </c>
      <c r="J875" s="841"/>
      <c r="K875" s="520"/>
      <c r="L875" s="520"/>
      <c r="M875" s="18"/>
      <c r="N875" s="226"/>
    </row>
    <row r="876" spans="1:14" ht="15" customHeight="1">
      <c r="A876" s="383"/>
      <c r="B876" s="349" t="s">
        <v>88</v>
      </c>
      <c r="C876" s="840">
        <f>_xlfn.CEILING.MATH((C870+35*$Z$1),0.1)</f>
        <v>122.2</v>
      </c>
      <c r="D876" s="841"/>
      <c r="E876" s="840">
        <f>_xlfn.CEILING.MATH((E870+35*$Z$1),0.1)</f>
        <v>180.70000000000002</v>
      </c>
      <c r="F876" s="841"/>
      <c r="G876" s="840">
        <f>_xlfn.CEILING.MATH((G870+35*$Z$1),0.1)</f>
        <v>153.4</v>
      </c>
      <c r="H876" s="841"/>
      <c r="I876" s="840">
        <f>_xlfn.CEILING.MATH((I870+35*$Z$1),0.1)</f>
        <v>136.5</v>
      </c>
      <c r="J876" s="841"/>
      <c r="K876" s="506"/>
      <c r="L876" s="502"/>
      <c r="M876" s="18"/>
      <c r="N876" s="226"/>
    </row>
    <row r="877" spans="1:14" ht="15" customHeight="1" thickBot="1">
      <c r="A877" s="231" t="s">
        <v>899</v>
      </c>
      <c r="B877" s="478" t="s">
        <v>89</v>
      </c>
      <c r="C877" s="846">
        <f>_xlfn.CEILING.MATH((C876+30*$Z$1),0.1)</f>
        <v>161.20000000000002</v>
      </c>
      <c r="D877" s="848"/>
      <c r="E877" s="846">
        <f>_xlfn.CEILING.MATH((E876+30*$Z$1),0.1)</f>
        <v>219.70000000000002</v>
      </c>
      <c r="F877" s="848"/>
      <c r="G877" s="846">
        <f>_xlfn.CEILING.MATH((G876+30*$Z$1),0.1)</f>
        <v>192.4</v>
      </c>
      <c r="H877" s="848"/>
      <c r="I877" s="846">
        <f>_xlfn.CEILING.MATH((I876+30*$Z$1),0.1)</f>
        <v>175.5</v>
      </c>
      <c r="J877" s="848"/>
      <c r="K877" s="502"/>
      <c r="L877" s="502"/>
      <c r="M877" s="18"/>
      <c r="N877" s="226"/>
    </row>
    <row r="878" spans="1:14" ht="15" customHeight="1" thickTop="1">
      <c r="A878" s="300" t="s">
        <v>534</v>
      </c>
      <c r="B878" s="213"/>
      <c r="C878" s="1007"/>
      <c r="D878" s="1007"/>
      <c r="E878" s="1007"/>
      <c r="F878" s="1007"/>
      <c r="G878" s="1007"/>
      <c r="H878" s="1007"/>
      <c r="I878" s="1007"/>
      <c r="J878" s="1007"/>
      <c r="K878" s="502"/>
      <c r="L878" s="502"/>
      <c r="M878" s="18"/>
      <c r="N878" s="226"/>
    </row>
    <row r="879" spans="1:25" s="724" customFormat="1" ht="15" customHeight="1" thickBot="1">
      <c r="A879" s="223"/>
      <c r="B879" s="272"/>
      <c r="C879" s="742"/>
      <c r="D879" s="742"/>
      <c r="E879" s="742"/>
      <c r="F879" s="742"/>
      <c r="G879" s="742"/>
      <c r="H879" s="742"/>
      <c r="I879" s="742"/>
      <c r="J879" s="742"/>
      <c r="K879" s="502"/>
      <c r="L879" s="502"/>
      <c r="M879" s="18"/>
      <c r="N879" s="226"/>
      <c r="O879" s="244"/>
      <c r="P879" s="244"/>
      <c r="Q879" s="244"/>
      <c r="R879" s="244"/>
      <c r="S879" s="244"/>
      <c r="T879" s="244"/>
      <c r="U879" s="244"/>
      <c r="V879" s="244"/>
      <c r="W879" s="244"/>
      <c r="X879" s="244"/>
      <c r="Y879" s="244"/>
    </row>
    <row r="880" spans="1:25" s="724" customFormat="1" ht="23.25" customHeight="1" thickTop="1">
      <c r="A880" s="93" t="s">
        <v>74</v>
      </c>
      <c r="B880" s="301"/>
      <c r="C880" s="420" t="s">
        <v>599</v>
      </c>
      <c r="D880" s="421"/>
      <c r="E880" s="422" t="s">
        <v>857</v>
      </c>
      <c r="F880" s="423"/>
      <c r="G880" s="422" t="s">
        <v>717</v>
      </c>
      <c r="H880" s="423"/>
      <c r="I880" s="422" t="s">
        <v>603</v>
      </c>
      <c r="J880" s="599"/>
      <c r="K880" s="604"/>
      <c r="L880" s="603"/>
      <c r="M880" s="22"/>
      <c r="N880" s="226"/>
      <c r="O880" s="244"/>
      <c r="P880" s="244"/>
      <c r="Q880" s="244"/>
      <c r="R880" s="244"/>
      <c r="S880" s="244"/>
      <c r="T880" s="244"/>
      <c r="U880" s="244"/>
      <c r="V880" s="244"/>
      <c r="W880" s="244"/>
      <c r="X880" s="244"/>
      <c r="Y880" s="244"/>
    </row>
    <row r="881" spans="1:25" s="724" customFormat="1" ht="15" customHeight="1">
      <c r="A881" s="200" t="s">
        <v>859</v>
      </c>
      <c r="B881" s="325" t="s">
        <v>860</v>
      </c>
      <c r="C881" s="840">
        <f>CEILING(57*$Z$1,0.1)</f>
        <v>74.10000000000001</v>
      </c>
      <c r="D881" s="844"/>
      <c r="E881" s="840">
        <f>CEILING(77*$Z$1,0.1)</f>
        <v>100.10000000000001</v>
      </c>
      <c r="F881" s="844"/>
      <c r="G881" s="840">
        <f>CEILING(68*$Z$1,0.1)</f>
        <v>88.4</v>
      </c>
      <c r="H881" s="844"/>
      <c r="I881" s="840">
        <f>CEILING(55*$Z$1,0.1)</f>
        <v>71.5</v>
      </c>
      <c r="J881" s="844"/>
      <c r="K881" s="840"/>
      <c r="L881" s="844"/>
      <c r="M881" s="22"/>
      <c r="N881" s="226"/>
      <c r="O881" s="244"/>
      <c r="P881" s="244"/>
      <c r="Q881" s="244"/>
      <c r="R881" s="244"/>
      <c r="S881" s="244"/>
      <c r="T881" s="244"/>
      <c r="U881" s="244"/>
      <c r="V881" s="244"/>
      <c r="W881" s="244"/>
      <c r="X881" s="244"/>
      <c r="Y881" s="244"/>
    </row>
    <row r="882" spans="1:25" s="724" customFormat="1" ht="15" customHeight="1">
      <c r="A882" s="202" t="s">
        <v>76</v>
      </c>
      <c r="B882" s="201" t="s">
        <v>861</v>
      </c>
      <c r="C882" s="840">
        <f>_xlfn.CEILING.MATH((C881+20*$Z$1),0.1)</f>
        <v>100.10000000000001</v>
      </c>
      <c r="D882" s="841"/>
      <c r="E882" s="840">
        <f>_xlfn.CEILING.MATH((E881+20*$Z$1),0.1)</f>
        <v>126.10000000000001</v>
      </c>
      <c r="F882" s="841"/>
      <c r="G882" s="840">
        <f>_xlfn.CEILING.MATH((G881+20*$Z$1),0.1)</f>
        <v>114.4</v>
      </c>
      <c r="H882" s="841"/>
      <c r="I882" s="840">
        <f>_xlfn.CEILING.MATH((I881+20*$Z$1),0.1)</f>
        <v>97.5</v>
      </c>
      <c r="J882" s="841"/>
      <c r="K882" s="840"/>
      <c r="L882" s="844"/>
      <c r="M882" s="18"/>
      <c r="N882" s="226"/>
      <c r="O882" s="244"/>
      <c r="P882" s="244"/>
      <c r="Q882" s="244"/>
      <c r="R882" s="244"/>
      <c r="S882" s="244"/>
      <c r="T882" s="244"/>
      <c r="U882" s="244"/>
      <c r="V882" s="244"/>
      <c r="W882" s="244"/>
      <c r="X882" s="244"/>
      <c r="Y882" s="244"/>
    </row>
    <row r="883" spans="1:25" s="724" customFormat="1" ht="15" customHeight="1">
      <c r="A883" s="203"/>
      <c r="B883" s="204" t="s">
        <v>78</v>
      </c>
      <c r="C883" s="840">
        <f>CEILING(48.45*$Z$1,0.1)</f>
        <v>63</v>
      </c>
      <c r="D883" s="841"/>
      <c r="E883" s="840">
        <f>CEILING(65.45*$Z$1,0.1)</f>
        <v>85.10000000000001</v>
      </c>
      <c r="F883" s="841"/>
      <c r="G883" s="840">
        <f>CEILING(57.8*$Z$1,0.1)</f>
        <v>75.2</v>
      </c>
      <c r="H883" s="841"/>
      <c r="I883" s="840">
        <f>CEILING(46.75*$Z$1,0.1)</f>
        <v>60.800000000000004</v>
      </c>
      <c r="J883" s="841"/>
      <c r="K883" s="840"/>
      <c r="L883" s="844"/>
      <c r="M883" s="18"/>
      <c r="N883" s="226"/>
      <c r="O883" s="244"/>
      <c r="P883" s="244"/>
      <c r="Q883" s="244"/>
      <c r="R883" s="244"/>
      <c r="S883" s="244"/>
      <c r="T883" s="244"/>
      <c r="U883" s="244"/>
      <c r="V883" s="244"/>
      <c r="W883" s="244"/>
      <c r="X883" s="244"/>
      <c r="Y883" s="244"/>
    </row>
    <row r="884" spans="1:25" s="724" customFormat="1" ht="15" customHeight="1">
      <c r="A884" s="449"/>
      <c r="B884" s="14" t="s">
        <v>132</v>
      </c>
      <c r="C884" s="842">
        <v>0</v>
      </c>
      <c r="D884" s="843"/>
      <c r="E884" s="842">
        <v>0</v>
      </c>
      <c r="F884" s="843"/>
      <c r="G884" s="842">
        <v>0</v>
      </c>
      <c r="H884" s="843"/>
      <c r="I884" s="842">
        <v>0</v>
      </c>
      <c r="J884" s="843"/>
      <c r="K884" s="840"/>
      <c r="L884" s="844"/>
      <c r="M884" s="18"/>
      <c r="N884" s="226"/>
      <c r="O884" s="244"/>
      <c r="P884" s="244"/>
      <c r="Q884" s="244"/>
      <c r="R884" s="244"/>
      <c r="S884" s="244"/>
      <c r="T884" s="244"/>
      <c r="U884" s="244"/>
      <c r="V884" s="244"/>
      <c r="W884" s="244"/>
      <c r="X884" s="244"/>
      <c r="Y884" s="244"/>
    </row>
    <row r="885" spans="1:25" s="724" customFormat="1" ht="15" customHeight="1">
      <c r="A885" s="203"/>
      <c r="B885" s="206" t="s">
        <v>862</v>
      </c>
      <c r="C885" s="840">
        <f>_xlfn.CEILING.MATH((C881+15*$Z$1),0.1)</f>
        <v>93.60000000000001</v>
      </c>
      <c r="D885" s="841"/>
      <c r="E885" s="840">
        <f>_xlfn.CEILING.MATH((E881+15*$Z$1),0.1)</f>
        <v>119.60000000000001</v>
      </c>
      <c r="F885" s="841"/>
      <c r="G885" s="840">
        <f>_xlfn.CEILING.MATH((G881+15*$Z$1),0.1)</f>
        <v>107.9</v>
      </c>
      <c r="H885" s="841"/>
      <c r="I885" s="840">
        <f>_xlfn.CEILING.MATH((I881+15*$Z$1),0.1)</f>
        <v>91</v>
      </c>
      <c r="J885" s="841"/>
      <c r="K885" s="840"/>
      <c r="L885" s="844"/>
      <c r="M885" s="18"/>
      <c r="N885" s="226"/>
      <c r="O885" s="244"/>
      <c r="P885" s="244"/>
      <c r="Q885" s="244"/>
      <c r="R885" s="244"/>
      <c r="S885" s="244"/>
      <c r="T885" s="244"/>
      <c r="U885" s="244"/>
      <c r="V885" s="244"/>
      <c r="W885" s="244"/>
      <c r="X885" s="244"/>
      <c r="Y885" s="244"/>
    </row>
    <row r="886" spans="1:25" s="724" customFormat="1" ht="15" customHeight="1" thickBot="1">
      <c r="A886" s="398" t="s">
        <v>924</v>
      </c>
      <c r="B886" s="253" t="s">
        <v>863</v>
      </c>
      <c r="C886" s="846">
        <f>_xlfn.CEILING.MATH((C885+20*$Z$1),0.1)</f>
        <v>119.60000000000001</v>
      </c>
      <c r="D886" s="848"/>
      <c r="E886" s="846">
        <f>_xlfn.CEILING.MATH((E885+20*$Z$1),0.1)</f>
        <v>145.6</v>
      </c>
      <c r="F886" s="848"/>
      <c r="G886" s="846">
        <f>_xlfn.CEILING.MATH((G885+20*$Z$1),0.1)</f>
        <v>133.9</v>
      </c>
      <c r="H886" s="848"/>
      <c r="I886" s="846">
        <f>_xlfn.CEILING.MATH((I885+20*$Z$1),0.1)</f>
        <v>117</v>
      </c>
      <c r="J886" s="848"/>
      <c r="K886" s="840"/>
      <c r="L886" s="844"/>
      <c r="M886" s="18"/>
      <c r="N886" s="226"/>
      <c r="O886" s="244"/>
      <c r="P886" s="244"/>
      <c r="Q886" s="244"/>
      <c r="R886" s="244"/>
      <c r="S886" s="244"/>
      <c r="T886" s="244"/>
      <c r="U886" s="244"/>
      <c r="V886" s="244"/>
      <c r="W886" s="244"/>
      <c r="X886" s="244"/>
      <c r="Y886" s="244"/>
    </row>
    <row r="887" spans="1:25" s="724" customFormat="1" ht="15" customHeight="1" thickTop="1">
      <c r="A887" s="99" t="s">
        <v>865</v>
      </c>
      <c r="B887" s="213"/>
      <c r="C887" s="742"/>
      <c r="D887" s="742"/>
      <c r="E887" s="742"/>
      <c r="F887" s="742"/>
      <c r="G887" s="742"/>
      <c r="H887" s="742"/>
      <c r="I887" s="742"/>
      <c r="J887" s="742"/>
      <c r="K887" s="502"/>
      <c r="L887" s="502"/>
      <c r="M887" s="18"/>
      <c r="N887" s="226"/>
      <c r="O887" s="244"/>
      <c r="P887" s="244"/>
      <c r="Q887" s="244"/>
      <c r="R887" s="244"/>
      <c r="S887" s="244"/>
      <c r="T887" s="244"/>
      <c r="U887" s="244"/>
      <c r="V887" s="244"/>
      <c r="W887" s="244"/>
      <c r="X887" s="244"/>
      <c r="Y887" s="244"/>
    </row>
    <row r="888" spans="1:25" s="724" customFormat="1" ht="15" customHeight="1">
      <c r="A888" s="248" t="s">
        <v>864</v>
      </c>
      <c r="B888" s="213"/>
      <c r="C888" s="742"/>
      <c r="D888" s="742"/>
      <c r="E888" s="742"/>
      <c r="F888" s="742"/>
      <c r="G888" s="742"/>
      <c r="H888" s="742"/>
      <c r="I888" s="742"/>
      <c r="J888" s="742"/>
      <c r="K888" s="502"/>
      <c r="L888" s="502"/>
      <c r="M888" s="18"/>
      <c r="N888" s="226"/>
      <c r="O888" s="244"/>
      <c r="P888" s="244"/>
      <c r="Q888" s="244"/>
      <c r="R888" s="244"/>
      <c r="S888" s="244"/>
      <c r="T888" s="244"/>
      <c r="U888" s="244"/>
      <c r="V888" s="244"/>
      <c r="W888" s="244"/>
      <c r="X888" s="244"/>
      <c r="Y888" s="244"/>
    </row>
    <row r="889" spans="1:14" ht="17.25" customHeight="1" thickBot="1">
      <c r="A889" s="223"/>
      <c r="B889" s="272"/>
      <c r="C889" s="98"/>
      <c r="D889" s="98"/>
      <c r="E889" s="98"/>
      <c r="F889" s="98"/>
      <c r="G889" s="98"/>
      <c r="H889" s="98"/>
      <c r="I889" s="98"/>
      <c r="J889" s="98"/>
      <c r="K889" s="476"/>
      <c r="L889" s="476"/>
      <c r="M889" s="18"/>
      <c r="N889" s="226"/>
    </row>
    <row r="890" spans="1:14" ht="25.5" customHeight="1" thickTop="1">
      <c r="A890" s="93" t="s">
        <v>74</v>
      </c>
      <c r="B890" s="301"/>
      <c r="C890" s="420" t="s">
        <v>599</v>
      </c>
      <c r="D890" s="421"/>
      <c r="E890" s="422" t="s">
        <v>857</v>
      </c>
      <c r="F890" s="423"/>
      <c r="G890" s="422" t="s">
        <v>858</v>
      </c>
      <c r="H890" s="423"/>
      <c r="I890" s="422" t="s">
        <v>602</v>
      </c>
      <c r="J890" s="423"/>
      <c r="K890" s="422" t="s">
        <v>603</v>
      </c>
      <c r="L890" s="599"/>
      <c r="M890" s="23"/>
      <c r="N890" s="226"/>
    </row>
    <row r="891" spans="1:14" ht="15" customHeight="1">
      <c r="A891" s="200" t="s">
        <v>7</v>
      </c>
      <c r="B891" s="325" t="s">
        <v>113</v>
      </c>
      <c r="C891" s="840">
        <f>CEILING(74*$Z$1,0.1)</f>
        <v>96.2</v>
      </c>
      <c r="D891" s="844"/>
      <c r="E891" s="840">
        <f>CEILING(134*$Z$1,0.1)</f>
        <v>174.20000000000002</v>
      </c>
      <c r="F891" s="844"/>
      <c r="G891" s="840">
        <f>CEILING(101*$Z$1,0.1)</f>
        <v>131.3</v>
      </c>
      <c r="H891" s="844"/>
      <c r="I891" s="840">
        <f>CEILING(112*$Z$1,0.1)</f>
        <v>145.6</v>
      </c>
      <c r="J891" s="844"/>
      <c r="K891" s="840">
        <f>CEILING(76*$Z$1,0.1)</f>
        <v>98.80000000000001</v>
      </c>
      <c r="L891" s="844"/>
      <c r="M891" s="23"/>
      <c r="N891" s="226"/>
    </row>
    <row r="892" spans="1:14" ht="15" customHeight="1">
      <c r="A892" s="202" t="s">
        <v>76</v>
      </c>
      <c r="B892" s="201" t="s">
        <v>114</v>
      </c>
      <c r="C892" s="840">
        <f>_xlfn.CEILING.MATH((C891+40*$Z$1),0.1)</f>
        <v>148.20000000000002</v>
      </c>
      <c r="D892" s="841"/>
      <c r="E892" s="840">
        <f>_xlfn.CEILING.MATH((E891+40*$Z$1),0.1)</f>
        <v>226.20000000000002</v>
      </c>
      <c r="F892" s="841"/>
      <c r="G892" s="840">
        <f>_xlfn.CEILING.MATH((G891+40*$Z$1),0.1)</f>
        <v>183.3</v>
      </c>
      <c r="H892" s="841"/>
      <c r="I892" s="840">
        <f>_xlfn.CEILING.MATH((I891+40*$Z$1),0.1)</f>
        <v>197.60000000000002</v>
      </c>
      <c r="J892" s="841"/>
      <c r="K892" s="840">
        <f>_xlfn.CEILING.MATH((K891+40*$Z$1),0.1)</f>
        <v>150.8</v>
      </c>
      <c r="L892" s="841"/>
      <c r="M892" s="23"/>
      <c r="N892" s="226"/>
    </row>
    <row r="893" spans="1:14" ht="15" customHeight="1">
      <c r="A893" s="203"/>
      <c r="B893" s="204" t="s">
        <v>78</v>
      </c>
      <c r="C893" s="840">
        <f>CEILING((C891*0.85),0.1)</f>
        <v>81.80000000000001</v>
      </c>
      <c r="D893" s="841"/>
      <c r="E893" s="840">
        <f>CEILING((E891*0.85),0.1)</f>
        <v>148.1</v>
      </c>
      <c r="F893" s="841"/>
      <c r="G893" s="840">
        <f>CEILING((G891*0.85),0.1)</f>
        <v>111.7</v>
      </c>
      <c r="H893" s="841"/>
      <c r="I893" s="840">
        <f>CEILING((I891*0.85),0.1)</f>
        <v>123.80000000000001</v>
      </c>
      <c r="J893" s="841"/>
      <c r="K893" s="840">
        <f>CEILING((K891*0.85),0.1)</f>
        <v>84</v>
      </c>
      <c r="L893" s="841"/>
      <c r="M893" s="23"/>
      <c r="N893" s="226"/>
    </row>
    <row r="894" spans="1:14" ht="15" customHeight="1">
      <c r="A894" s="449"/>
      <c r="B894" s="14" t="s">
        <v>160</v>
      </c>
      <c r="C894" s="840">
        <f>CEILING((C891*0.5),0.1)</f>
        <v>48.1</v>
      </c>
      <c r="D894" s="841"/>
      <c r="E894" s="840">
        <f>CEILING((E891*0.5),0.1)</f>
        <v>87.10000000000001</v>
      </c>
      <c r="F894" s="841"/>
      <c r="G894" s="840">
        <f>CEILING((G891*0.5),0.1)</f>
        <v>65.7</v>
      </c>
      <c r="H894" s="841"/>
      <c r="I894" s="840">
        <f>CEILING((I891*0.5),0.1)</f>
        <v>72.8</v>
      </c>
      <c r="J894" s="841"/>
      <c r="K894" s="840">
        <f>CEILING((K891*0.5),0.1)</f>
        <v>49.400000000000006</v>
      </c>
      <c r="L894" s="841"/>
      <c r="M894" s="23"/>
      <c r="N894" s="226"/>
    </row>
    <row r="895" spans="1:14" ht="16.5" customHeight="1">
      <c r="A895" s="203"/>
      <c r="B895" s="206" t="s">
        <v>8</v>
      </c>
      <c r="C895" s="840">
        <f>CEILING(91*$Z$1,0.1)</f>
        <v>118.30000000000001</v>
      </c>
      <c r="D895" s="841"/>
      <c r="E895" s="840">
        <f>CEILING(151*$Z$1,0.1)</f>
        <v>196.3</v>
      </c>
      <c r="F895" s="841"/>
      <c r="G895" s="840">
        <f>CEILING(118*$Z$1,0.1)</f>
        <v>153.4</v>
      </c>
      <c r="H895" s="841"/>
      <c r="I895" s="840">
        <f>CEILING(129*$Z$1,0.1)</f>
        <v>167.70000000000002</v>
      </c>
      <c r="J895" s="841"/>
      <c r="K895" s="840">
        <f>CEILING(93*$Z$1,0.1)</f>
        <v>120.9</v>
      </c>
      <c r="L895" s="841"/>
      <c r="M895" s="23"/>
      <c r="N895" s="226"/>
    </row>
    <row r="896" spans="1:14" ht="16.5" customHeight="1" thickBot="1">
      <c r="A896" s="398" t="s">
        <v>923</v>
      </c>
      <c r="B896" s="253" t="s">
        <v>9</v>
      </c>
      <c r="C896" s="846">
        <f>_xlfn.CEILING.MATH((C895+40*$Z$1),0.1)</f>
        <v>170.3</v>
      </c>
      <c r="D896" s="848"/>
      <c r="E896" s="846">
        <f>_xlfn.CEILING.MATH((E895+40*$Z$1),0.1)</f>
        <v>248.3</v>
      </c>
      <c r="F896" s="848"/>
      <c r="G896" s="846">
        <f>_xlfn.CEILING.MATH((G895+40*$Z$1),0.1)</f>
        <v>205.4</v>
      </c>
      <c r="H896" s="848"/>
      <c r="I896" s="846">
        <f>_xlfn.CEILING.MATH((I895+40*$Z$1),0.1)</f>
        <v>219.70000000000002</v>
      </c>
      <c r="J896" s="848"/>
      <c r="K896" s="846">
        <f>_xlfn.CEILING.MATH((K895+40*$Z$1),0.1)</f>
        <v>172.9</v>
      </c>
      <c r="L896" s="848"/>
      <c r="M896" s="18"/>
      <c r="N896" s="226"/>
    </row>
    <row r="897" spans="1:14" ht="16.5" customHeight="1" thickTop="1">
      <c r="A897" s="676" t="s">
        <v>10</v>
      </c>
      <c r="B897" s="213"/>
      <c r="C897" s="98"/>
      <c r="D897" s="98"/>
      <c r="E897" s="98"/>
      <c r="F897" s="98"/>
      <c r="G897" s="98"/>
      <c r="H897" s="98"/>
      <c r="I897" s="98"/>
      <c r="J897" s="98"/>
      <c r="K897" s="502"/>
      <c r="L897" s="502"/>
      <c r="M897" s="18"/>
      <c r="N897" s="226"/>
    </row>
    <row r="898" spans="1:25" s="724" customFormat="1" ht="16.5" customHeight="1">
      <c r="A898" s="248" t="s">
        <v>711</v>
      </c>
      <c r="B898" s="213"/>
      <c r="C898" s="98"/>
      <c r="D898" s="98"/>
      <c r="E898" s="98"/>
      <c r="F898" s="98"/>
      <c r="G898" s="98"/>
      <c r="H898" s="98"/>
      <c r="I898" s="98"/>
      <c r="J898" s="98"/>
      <c r="K898" s="502"/>
      <c r="L898" s="502"/>
      <c r="M898" s="18"/>
      <c r="N898" s="226"/>
      <c r="O898" s="244"/>
      <c r="P898" s="244"/>
      <c r="Q898" s="244"/>
      <c r="R898" s="244"/>
      <c r="S898" s="244"/>
      <c r="T898" s="244"/>
      <c r="U898" s="244"/>
      <c r="V898" s="244"/>
      <c r="W898" s="244"/>
      <c r="X898" s="244"/>
      <c r="Y898" s="244"/>
    </row>
    <row r="899" spans="1:14" ht="16.5" customHeight="1">
      <c r="A899" s="248" t="s">
        <v>855</v>
      </c>
      <c r="B899" s="213"/>
      <c r="C899" s="98"/>
      <c r="D899" s="98"/>
      <c r="E899" s="98"/>
      <c r="F899" s="98"/>
      <c r="G899" s="98"/>
      <c r="H899" s="98"/>
      <c r="I899" s="98"/>
      <c r="J899" s="98"/>
      <c r="K899" s="502"/>
      <c r="L899" s="502"/>
      <c r="M899" s="18"/>
      <c r="N899" s="226"/>
    </row>
    <row r="900" spans="1:14" ht="17.25" customHeight="1" hidden="1">
      <c r="A900" s="1093" t="s">
        <v>596</v>
      </c>
      <c r="B900" s="1093"/>
      <c r="C900" s="1093"/>
      <c r="D900" s="1093"/>
      <c r="E900" s="1093"/>
      <c r="F900" s="1093"/>
      <c r="G900" s="1093"/>
      <c r="H900" s="1093"/>
      <c r="I900" s="692"/>
      <c r="J900" s="211"/>
      <c r="K900" s="502"/>
      <c r="L900" s="502"/>
      <c r="M900" s="18"/>
      <c r="N900" s="226"/>
    </row>
    <row r="901" spans="1:25" s="724" customFormat="1" ht="17.25" customHeight="1">
      <c r="A901" s="807"/>
      <c r="B901" s="807"/>
      <c r="C901" s="807"/>
      <c r="D901" s="807"/>
      <c r="E901" s="807"/>
      <c r="F901" s="807"/>
      <c r="G901" s="807"/>
      <c r="H901" s="807"/>
      <c r="I901" s="808"/>
      <c r="J901" s="211"/>
      <c r="K901" s="502"/>
      <c r="L901" s="502"/>
      <c r="M901" s="18"/>
      <c r="N901" s="226"/>
      <c r="O901" s="244"/>
      <c r="P901" s="244"/>
      <c r="Q901" s="244"/>
      <c r="R901" s="244"/>
      <c r="S901" s="244"/>
      <c r="T901" s="244"/>
      <c r="U901" s="244"/>
      <c r="V901" s="244"/>
      <c r="W901" s="244"/>
      <c r="X901" s="244"/>
      <c r="Y901" s="244"/>
    </row>
    <row r="902" spans="1:25" s="724" customFormat="1" ht="17.25" customHeight="1">
      <c r="A902" s="867" t="s">
        <v>707</v>
      </c>
      <c r="B902" s="867"/>
      <c r="C902" s="867"/>
      <c r="D902" s="867"/>
      <c r="E902" s="867"/>
      <c r="F902" s="867"/>
      <c r="G902" s="867"/>
      <c r="H902" s="867"/>
      <c r="I902" s="692"/>
      <c r="J902" s="211"/>
      <c r="K902" s="502"/>
      <c r="L902" s="502"/>
      <c r="M902" s="18"/>
      <c r="N902" s="226"/>
      <c r="O902" s="244"/>
      <c r="P902" s="244"/>
      <c r="Q902" s="244"/>
      <c r="R902" s="244"/>
      <c r="S902" s="244"/>
      <c r="T902" s="244"/>
      <c r="U902" s="244"/>
      <c r="V902" s="244"/>
      <c r="W902" s="244"/>
      <c r="X902" s="244"/>
      <c r="Y902" s="244"/>
    </row>
    <row r="903" spans="1:14" ht="15.75" customHeight="1">
      <c r="A903" s="965" t="s">
        <v>566</v>
      </c>
      <c r="B903" s="965"/>
      <c r="C903" s="965"/>
      <c r="D903" s="965"/>
      <c r="E903" s="965"/>
      <c r="F903" s="965"/>
      <c r="G903" s="965"/>
      <c r="H903" s="965"/>
      <c r="I903" s="692"/>
      <c r="J903" s="211"/>
      <c r="K903" s="502"/>
      <c r="L903" s="502"/>
      <c r="M903" s="18"/>
      <c r="N903" s="226"/>
    </row>
    <row r="904" spans="1:14" ht="16.5" customHeight="1">
      <c r="A904" s="965" t="s">
        <v>564</v>
      </c>
      <c r="B904" s="965"/>
      <c r="C904" s="965"/>
      <c r="D904" s="965"/>
      <c r="E904" s="965"/>
      <c r="F904" s="965"/>
      <c r="G904" s="965"/>
      <c r="H904" s="965"/>
      <c r="I904" s="692"/>
      <c r="J904" s="211"/>
      <c r="K904" s="502"/>
      <c r="L904" s="502"/>
      <c r="M904" s="18"/>
      <c r="N904" s="226"/>
    </row>
    <row r="905" spans="1:14" ht="16.5" customHeight="1">
      <c r="A905" s="965" t="s">
        <v>559</v>
      </c>
      <c r="B905" s="965"/>
      <c r="C905" s="965"/>
      <c r="D905" s="965"/>
      <c r="E905" s="965"/>
      <c r="F905" s="965"/>
      <c r="G905" s="965"/>
      <c r="H905" s="965"/>
      <c r="I905" s="692"/>
      <c r="J905" s="211"/>
      <c r="K905" s="502"/>
      <c r="L905" s="502"/>
      <c r="M905" s="18"/>
      <c r="N905" s="226"/>
    </row>
    <row r="906" spans="1:14" ht="16.5" customHeight="1">
      <c r="A906" s="965" t="s">
        <v>967</v>
      </c>
      <c r="B906" s="965"/>
      <c r="C906" s="965"/>
      <c r="D906" s="965"/>
      <c r="E906" s="965"/>
      <c r="F906" s="965"/>
      <c r="G906" s="965"/>
      <c r="H906" s="965"/>
      <c r="I906" s="961"/>
      <c r="J906" s="139"/>
      <c r="K906" s="502"/>
      <c r="L906" s="502"/>
      <c r="M906" s="18"/>
      <c r="N906" s="226"/>
    </row>
    <row r="907" spans="1:14" ht="17.25" customHeight="1">
      <c r="A907" s="965" t="s">
        <v>968</v>
      </c>
      <c r="B907" s="965"/>
      <c r="C907" s="965"/>
      <c r="D907" s="965"/>
      <c r="E907" s="965"/>
      <c r="F907" s="965"/>
      <c r="G907" s="965"/>
      <c r="H907" s="965"/>
      <c r="I907" s="695"/>
      <c r="J907" s="139"/>
      <c r="K907" s="502"/>
      <c r="L907" s="502"/>
      <c r="M907" s="18"/>
      <c r="N907" s="226"/>
    </row>
    <row r="908" spans="1:14" ht="15">
      <c r="A908" s="269"/>
      <c r="B908" s="269"/>
      <c r="C908" s="269"/>
      <c r="D908" s="269"/>
      <c r="E908" s="269"/>
      <c r="F908" s="269"/>
      <c r="G908" s="269"/>
      <c r="H908" s="269"/>
      <c r="I908" s="1"/>
      <c r="J908" s="1"/>
      <c r="K908" s="502"/>
      <c r="L908" s="502"/>
      <c r="M908" s="18"/>
      <c r="N908" s="226"/>
    </row>
    <row r="909" spans="1:14" ht="14.25" customHeight="1">
      <c r="A909" s="269"/>
      <c r="B909" s="269"/>
      <c r="C909" s="269"/>
      <c r="D909" s="269"/>
      <c r="E909" s="269"/>
      <c r="F909" s="269"/>
      <c r="G909" s="269"/>
      <c r="H909" s="269"/>
      <c r="I909" s="1"/>
      <c r="J909" s="1"/>
      <c r="K909" s="502"/>
      <c r="L909" s="502"/>
      <c r="M909" s="22"/>
      <c r="N909" s="22"/>
    </row>
    <row r="910" spans="1:14" ht="16.5" customHeight="1">
      <c r="A910" s="962" t="s">
        <v>182</v>
      </c>
      <c r="B910" s="962"/>
      <c r="C910" s="962"/>
      <c r="D910" s="962"/>
      <c r="E910" s="962"/>
      <c r="F910" s="962"/>
      <c r="G910" s="962"/>
      <c r="H910" s="962"/>
      <c r="I910" s="146"/>
      <c r="J910" s="146"/>
      <c r="K910" s="502"/>
      <c r="L910" s="502"/>
      <c r="M910" s="18"/>
      <c r="N910" s="226"/>
    </row>
    <row r="911" spans="1:14" ht="14.25" customHeight="1" thickBot="1">
      <c r="A911" s="147"/>
      <c r="B911" s="147"/>
      <c r="C911" s="147"/>
      <c r="D911" s="147"/>
      <c r="E911" s="147"/>
      <c r="F911" s="147"/>
      <c r="G911" s="147"/>
      <c r="H911" s="147"/>
      <c r="I911" s="147"/>
      <c r="J911" s="147"/>
      <c r="K911" s="502"/>
      <c r="L911" s="502"/>
      <c r="M911" s="18"/>
      <c r="N911" s="226"/>
    </row>
    <row r="912" spans="1:14" ht="27" customHeight="1" thickTop="1">
      <c r="A912" s="93" t="s">
        <v>74</v>
      </c>
      <c r="B912" s="93"/>
      <c r="C912" s="420" t="s">
        <v>599</v>
      </c>
      <c r="D912" s="421"/>
      <c r="E912" s="422" t="s">
        <v>600</v>
      </c>
      <c r="F912" s="423"/>
      <c r="G912" s="422" t="s">
        <v>601</v>
      </c>
      <c r="H912" s="423"/>
      <c r="I912" s="422" t="s">
        <v>602</v>
      </c>
      <c r="J912" s="423"/>
      <c r="K912" s="422" t="s">
        <v>603</v>
      </c>
      <c r="L912" s="599"/>
      <c r="M912" s="23"/>
      <c r="N912" s="226"/>
    </row>
    <row r="913" spans="1:14" ht="15">
      <c r="A913" s="132" t="s">
        <v>183</v>
      </c>
      <c r="B913" s="34" t="s">
        <v>431</v>
      </c>
      <c r="C913" s="840">
        <f>CEILING(90*$Z$1,0.1)</f>
        <v>117</v>
      </c>
      <c r="D913" s="844"/>
      <c r="E913" s="840">
        <f>CEILING(135*$Z$1,0.1)</f>
        <v>175.5</v>
      </c>
      <c r="F913" s="844"/>
      <c r="G913" s="840">
        <f>CEILING(120*$Z$1,0.1)</f>
        <v>156</v>
      </c>
      <c r="H913" s="844"/>
      <c r="I913" s="840">
        <f>CEILING(125*$Z$1,0.1)</f>
        <v>162.5</v>
      </c>
      <c r="J913" s="844"/>
      <c r="K913" s="840">
        <f>CEILING(100*$Z$1,0.1)</f>
        <v>130</v>
      </c>
      <c r="L913" s="844"/>
      <c r="M913" s="23"/>
      <c r="N913" s="226"/>
    </row>
    <row r="914" spans="1:14" ht="15">
      <c r="A914" s="33" t="s">
        <v>76</v>
      </c>
      <c r="B914" s="60" t="s">
        <v>432</v>
      </c>
      <c r="C914" s="840">
        <f>_xlfn.CEILING.MATH((C913+65*$Z$1),0.1)</f>
        <v>201.5</v>
      </c>
      <c r="D914" s="841"/>
      <c r="E914" s="840">
        <f>_xlfn.CEILING.MATH((E913+65*$Z$1),0.1)</f>
        <v>260</v>
      </c>
      <c r="F914" s="841"/>
      <c r="G914" s="840">
        <f>_xlfn.CEILING.MATH((G913+65*$Z$1),0.1)</f>
        <v>240.5</v>
      </c>
      <c r="H914" s="841"/>
      <c r="I914" s="840">
        <f>_xlfn.CEILING.MATH((I913+65*$Z$1),0.1)</f>
        <v>247</v>
      </c>
      <c r="J914" s="841"/>
      <c r="K914" s="840">
        <f>_xlfn.CEILING.MATH((K913+65*$Z$1),0.1)</f>
        <v>214.5</v>
      </c>
      <c r="L914" s="841"/>
      <c r="M914" s="23"/>
      <c r="N914" s="226"/>
    </row>
    <row r="915" spans="1:14" ht="15">
      <c r="A915" s="40"/>
      <c r="B915" s="34" t="s">
        <v>116</v>
      </c>
      <c r="C915" s="840">
        <f>CEILING((C913*0.85),0.1)</f>
        <v>99.5</v>
      </c>
      <c r="D915" s="841"/>
      <c r="E915" s="840">
        <f>CEILING((E913*0.85),0.1)</f>
        <v>149.20000000000002</v>
      </c>
      <c r="F915" s="841"/>
      <c r="G915" s="840">
        <f>CEILING((G913*0.85),0.1)</f>
        <v>132.6</v>
      </c>
      <c r="H915" s="841"/>
      <c r="I915" s="840">
        <f>CEILING((I913*0.85),0.1)</f>
        <v>138.20000000000002</v>
      </c>
      <c r="J915" s="841"/>
      <c r="K915" s="840">
        <f>CEILING((K913*0.85),0.1)</f>
        <v>110.5</v>
      </c>
      <c r="L915" s="844"/>
      <c r="M915" s="23"/>
      <c r="N915" s="226"/>
    </row>
    <row r="916" spans="1:14" ht="15">
      <c r="A916" s="40"/>
      <c r="B916" s="89" t="s">
        <v>11</v>
      </c>
      <c r="C916" s="840">
        <f>_xlfn.CEILING.MATH((C913+25*$Z$1),0.1)</f>
        <v>149.5</v>
      </c>
      <c r="D916" s="841"/>
      <c r="E916" s="840">
        <f>_xlfn.CEILING.MATH((E913+25*$Z$1),0.1)</f>
        <v>208</v>
      </c>
      <c r="F916" s="841"/>
      <c r="G916" s="840">
        <f>_xlfn.CEILING.MATH((G913+25*$Z$1),0.1)</f>
        <v>188.5</v>
      </c>
      <c r="H916" s="841"/>
      <c r="I916" s="840">
        <f>_xlfn.CEILING.MATH((I913+25*$Z$1),0.1)</f>
        <v>195</v>
      </c>
      <c r="J916" s="841"/>
      <c r="K916" s="840">
        <f>_xlfn.CEILING.MATH((K913+25*$Z$1),0.1)</f>
        <v>162.5</v>
      </c>
      <c r="L916" s="841"/>
      <c r="M916" s="23"/>
      <c r="N916" s="226"/>
    </row>
    <row r="917" spans="1:14" ht="15">
      <c r="A917" s="40"/>
      <c r="B917" s="89" t="s">
        <v>12</v>
      </c>
      <c r="C917" s="840">
        <f>_xlfn.CEILING.MATH((C916+65*$Z$1),0.1)</f>
        <v>234</v>
      </c>
      <c r="D917" s="841"/>
      <c r="E917" s="840">
        <f>_xlfn.CEILING.MATH((E916+65*$Z$1),0.1)</f>
        <v>292.5</v>
      </c>
      <c r="F917" s="841"/>
      <c r="G917" s="840">
        <f>_xlfn.CEILING.MATH((G916+65*$Z$1),0.1)</f>
        <v>273</v>
      </c>
      <c r="H917" s="841"/>
      <c r="I917" s="840">
        <f>_xlfn.CEILING.MATH((I916+65*$Z$1),0.1)</f>
        <v>279.5</v>
      </c>
      <c r="J917" s="841"/>
      <c r="K917" s="840">
        <f>_xlfn.CEILING.MATH((K916+65*$Z$1),0.1)</f>
        <v>247</v>
      </c>
      <c r="L917" s="841"/>
      <c r="M917" s="23"/>
      <c r="N917" s="226"/>
    </row>
    <row r="918" spans="1:14" ht="15">
      <c r="A918" s="40"/>
      <c r="B918" s="89" t="s">
        <v>75</v>
      </c>
      <c r="C918" s="840">
        <f>_xlfn.CEILING.MATH((C913+30*$Z$1),0.1)</f>
        <v>156</v>
      </c>
      <c r="D918" s="841"/>
      <c r="E918" s="840">
        <f>_xlfn.CEILING.MATH((E913+30*$Z$1),0.1)</f>
        <v>214.5</v>
      </c>
      <c r="F918" s="841"/>
      <c r="G918" s="840">
        <f>_xlfn.CEILING.MATH((G913+30*$Z$1),0.1)</f>
        <v>195</v>
      </c>
      <c r="H918" s="841"/>
      <c r="I918" s="840">
        <f>_xlfn.CEILING.MATH((I913+30*$Z$1),0.1)</f>
        <v>201.5</v>
      </c>
      <c r="J918" s="841"/>
      <c r="K918" s="840">
        <f>_xlfn.CEILING.MATH((K913+30*$Z$1),0.1)</f>
        <v>169</v>
      </c>
      <c r="L918" s="841"/>
      <c r="M918" s="23"/>
      <c r="N918" s="226"/>
    </row>
    <row r="919" spans="1:14" ht="15">
      <c r="A919" s="40"/>
      <c r="B919" s="89" t="s">
        <v>77</v>
      </c>
      <c r="C919" s="840">
        <f>_xlfn.CEILING.MATH((C918+75*$Z$1),0.1)</f>
        <v>253.5</v>
      </c>
      <c r="D919" s="841"/>
      <c r="E919" s="840">
        <f>_xlfn.CEILING.MATH((E918+75*$Z$1),0.1)</f>
        <v>312</v>
      </c>
      <c r="F919" s="841"/>
      <c r="G919" s="840">
        <f>_xlfn.CEILING.MATH((G918+75*$Z$1),0.1)</f>
        <v>292.5</v>
      </c>
      <c r="H919" s="841"/>
      <c r="I919" s="840">
        <f>_xlfn.CEILING.MATH((I918+75*$Z$1),0.1)</f>
        <v>299</v>
      </c>
      <c r="J919" s="841"/>
      <c r="K919" s="840">
        <f>_xlfn.CEILING.MATH((K918+75*$Z$1),0.1)</f>
        <v>266.5</v>
      </c>
      <c r="L919" s="841"/>
      <c r="M919" s="23"/>
      <c r="N919" s="226"/>
    </row>
    <row r="920" spans="1:14" ht="15">
      <c r="A920" s="40"/>
      <c r="B920" s="266" t="s">
        <v>13</v>
      </c>
      <c r="C920" s="840">
        <f>_xlfn.CEILING.MATH((C913+50*$Z$1),0.1)</f>
        <v>182</v>
      </c>
      <c r="D920" s="841"/>
      <c r="E920" s="840">
        <f>_xlfn.CEILING.MATH((E913+50*$Z$1),0.1)</f>
        <v>240.5</v>
      </c>
      <c r="F920" s="841"/>
      <c r="G920" s="840">
        <f>_xlfn.CEILING.MATH((G913+50*$Z$1),0.1)</f>
        <v>221</v>
      </c>
      <c r="H920" s="841"/>
      <c r="I920" s="840">
        <f>_xlfn.CEILING.MATH((I913+50*$Z$1),0.1)</f>
        <v>227.5</v>
      </c>
      <c r="J920" s="841"/>
      <c r="K920" s="840">
        <f>_xlfn.CEILING.MATH((K913+50*$Z$1),0.1)</f>
        <v>195</v>
      </c>
      <c r="L920" s="841"/>
      <c r="M920" s="23"/>
      <c r="N920" s="226"/>
    </row>
    <row r="921" spans="1:14" ht="16.5" thickBot="1">
      <c r="A921" s="391" t="s">
        <v>907</v>
      </c>
      <c r="B921" s="344" t="s">
        <v>14</v>
      </c>
      <c r="C921" s="840">
        <f>_xlfn.CEILING.MATH((C920+75*$Z$1),0.1)</f>
        <v>279.5</v>
      </c>
      <c r="D921" s="841"/>
      <c r="E921" s="840">
        <f>_xlfn.CEILING.MATH((E920+75*$Z$1),0.1)</f>
        <v>338</v>
      </c>
      <c r="F921" s="841"/>
      <c r="G921" s="840">
        <f>_xlfn.CEILING.MATH((G920+75*$Z$1),0.1)</f>
        <v>318.5</v>
      </c>
      <c r="H921" s="841"/>
      <c r="I921" s="840">
        <f>_xlfn.CEILING.MATH((I920+75*$Z$1),0.1)</f>
        <v>325</v>
      </c>
      <c r="J921" s="841"/>
      <c r="K921" s="846">
        <f>_xlfn.CEILING.MATH((K920+75*$Z$1),0.1)</f>
        <v>292.5</v>
      </c>
      <c r="L921" s="848"/>
      <c r="M921" s="18"/>
      <c r="N921" s="226"/>
    </row>
    <row r="922" spans="1:14" ht="15.75" thickTop="1">
      <c r="A922" s="966" t="s">
        <v>184</v>
      </c>
      <c r="B922" s="967"/>
      <c r="C922" s="967"/>
      <c r="D922" s="967"/>
      <c r="E922" s="967"/>
      <c r="F922" s="967"/>
      <c r="G922" s="967"/>
      <c r="H922" s="967"/>
      <c r="I922" s="967"/>
      <c r="J922" s="968"/>
      <c r="K922" s="502"/>
      <c r="L922" s="502"/>
      <c r="M922" s="3"/>
      <c r="N922" s="3"/>
    </row>
    <row r="923" spans="1:25" s="724" customFormat="1" ht="15">
      <c r="A923" s="248" t="s">
        <v>651</v>
      </c>
      <c r="B923" s="24"/>
      <c r="C923" s="24"/>
      <c r="D923" s="24"/>
      <c r="E923" s="24"/>
      <c r="F923" s="24"/>
      <c r="G923" s="24"/>
      <c r="H923" s="24"/>
      <c r="I923" s="24"/>
      <c r="J923" s="24"/>
      <c r="K923" s="502"/>
      <c r="L923" s="502"/>
      <c r="M923" s="3"/>
      <c r="N923" s="3"/>
      <c r="O923" s="244"/>
      <c r="P923" s="244"/>
      <c r="Q923" s="244"/>
      <c r="R923" s="244"/>
      <c r="S923" s="244"/>
      <c r="T923" s="244"/>
      <c r="U923" s="244"/>
      <c r="V923" s="244"/>
      <c r="W923" s="244"/>
      <c r="X923" s="244"/>
      <c r="Y923" s="244"/>
    </row>
    <row r="924" spans="1:14" ht="15" customHeight="1" thickBot="1">
      <c r="A924" s="38"/>
      <c r="B924" s="38"/>
      <c r="C924" s="38"/>
      <c r="D924" s="38"/>
      <c r="E924" s="38"/>
      <c r="F924" s="38"/>
      <c r="G924" s="38"/>
      <c r="H924" s="38"/>
      <c r="I924" s="44"/>
      <c r="J924" s="44"/>
      <c r="K924" s="128"/>
      <c r="L924" s="128"/>
      <c r="M924" s="3"/>
      <c r="N924" s="3"/>
    </row>
    <row r="925" spans="1:14" ht="21" customHeight="1" thickTop="1">
      <c r="A925" s="93" t="s">
        <v>74</v>
      </c>
      <c r="B925" s="57"/>
      <c r="C925" s="420" t="s">
        <v>599</v>
      </c>
      <c r="D925" s="421"/>
      <c r="E925" s="422" t="s">
        <v>600</v>
      </c>
      <c r="F925" s="423"/>
      <c r="G925" s="422" t="s">
        <v>601</v>
      </c>
      <c r="H925" s="423"/>
      <c r="I925" s="422" t="s">
        <v>602</v>
      </c>
      <c r="J925" s="423"/>
      <c r="K925" s="422" t="s">
        <v>603</v>
      </c>
      <c r="L925" s="599"/>
      <c r="M925" s="4"/>
      <c r="N925" s="3"/>
    </row>
    <row r="926" spans="1:14" ht="15">
      <c r="A926" s="39" t="s">
        <v>185</v>
      </c>
      <c r="B926" s="45" t="s">
        <v>82</v>
      </c>
      <c r="C926" s="840">
        <f>CEILING(45*$Z$1,0.1)</f>
        <v>58.5</v>
      </c>
      <c r="D926" s="844"/>
      <c r="E926" s="840">
        <f>CEILING(80*$Z$1,0.1)</f>
        <v>104</v>
      </c>
      <c r="F926" s="844"/>
      <c r="G926" s="840">
        <f>CEILING(70*$Z$1,0.1)</f>
        <v>91</v>
      </c>
      <c r="H926" s="844"/>
      <c r="I926" s="840">
        <f>CEILING(76*$Z$1,0.1)</f>
        <v>98.80000000000001</v>
      </c>
      <c r="J926" s="844"/>
      <c r="K926" s="840">
        <f>CEILING(60*$Z$1,0.1)</f>
        <v>78</v>
      </c>
      <c r="L926" s="844"/>
      <c r="M926" s="81"/>
      <c r="N926" s="26"/>
    </row>
    <row r="927" spans="1:14" ht="15">
      <c r="A927" s="40" t="s">
        <v>91</v>
      </c>
      <c r="B927" s="14" t="s">
        <v>83</v>
      </c>
      <c r="C927" s="840">
        <f>_xlfn.CEILING.MATH((C926+25*$Z$1),0.1)</f>
        <v>91</v>
      </c>
      <c r="D927" s="841"/>
      <c r="E927" s="840">
        <f>_xlfn.CEILING.MATH((E926+25*$Z$1),0.1)</f>
        <v>136.5</v>
      </c>
      <c r="F927" s="841"/>
      <c r="G927" s="840">
        <f>_xlfn.CEILING.MATH((G926+25*$Z$1),0.1)</f>
        <v>123.5</v>
      </c>
      <c r="H927" s="841"/>
      <c r="I927" s="840">
        <f>_xlfn.CEILING.MATH((I926+25*$Z$1),0.1)</f>
        <v>131.3</v>
      </c>
      <c r="J927" s="841"/>
      <c r="K927" s="840">
        <f>_xlfn.CEILING.MATH((K926+25*$Z$1),0.1)</f>
        <v>110.5</v>
      </c>
      <c r="L927" s="841"/>
      <c r="M927" s="81"/>
      <c r="N927" s="26"/>
    </row>
    <row r="928" spans="1:14" ht="15">
      <c r="A928" s="40"/>
      <c r="B928" s="14" t="s">
        <v>116</v>
      </c>
      <c r="C928" s="840">
        <f>CEILING((C926*0.85),0.1)</f>
        <v>49.800000000000004</v>
      </c>
      <c r="D928" s="841"/>
      <c r="E928" s="840">
        <f>CEILING((E926*0.85),0.1)</f>
        <v>88.4</v>
      </c>
      <c r="F928" s="841"/>
      <c r="G928" s="840">
        <f>CEILING((G926*0.85),0.1)</f>
        <v>77.4</v>
      </c>
      <c r="H928" s="841"/>
      <c r="I928" s="840">
        <f>CEILING((I926*0.85),0.1)</f>
        <v>84</v>
      </c>
      <c r="J928" s="841"/>
      <c r="K928" s="840">
        <f>CEILING((K926*0.85),0.1)</f>
        <v>66.3</v>
      </c>
      <c r="L928" s="841"/>
      <c r="M928" s="26"/>
      <c r="N928" s="26"/>
    </row>
    <row r="929" spans="1:14" ht="15">
      <c r="A929" s="40"/>
      <c r="B929" s="205" t="s">
        <v>115</v>
      </c>
      <c r="C929" s="842">
        <v>0</v>
      </c>
      <c r="D929" s="843"/>
      <c r="E929" s="842">
        <v>0</v>
      </c>
      <c r="F929" s="843"/>
      <c r="G929" s="842">
        <v>0</v>
      </c>
      <c r="H929" s="843"/>
      <c r="I929" s="842">
        <v>0</v>
      </c>
      <c r="J929" s="843"/>
      <c r="K929" s="842">
        <v>0</v>
      </c>
      <c r="L929" s="843"/>
      <c r="M929" s="26"/>
      <c r="N929" s="26"/>
    </row>
    <row r="930" spans="1:14" ht="15">
      <c r="A930" s="40"/>
      <c r="B930" s="13" t="s">
        <v>84</v>
      </c>
      <c r="C930" s="840">
        <f>_xlfn.CEILING.MATH((C926+10*$Z$1),0.1)</f>
        <v>71.5</v>
      </c>
      <c r="D930" s="841"/>
      <c r="E930" s="840">
        <f>_xlfn.CEILING.MATH((E926+10*$Z$1),0.1)</f>
        <v>117</v>
      </c>
      <c r="F930" s="841"/>
      <c r="G930" s="840">
        <f>_xlfn.CEILING.MATH((G926+10*$Z$1),0.1)</f>
        <v>104</v>
      </c>
      <c r="H930" s="841"/>
      <c r="I930" s="840">
        <f>_xlfn.CEILING.MATH((I926+10*$Z$1),0.1)</f>
        <v>111.80000000000001</v>
      </c>
      <c r="J930" s="841"/>
      <c r="K930" s="840">
        <f>_xlfn.CEILING.MATH((K926+10*$Z$1),0.1)</f>
        <v>91</v>
      </c>
      <c r="L930" s="841"/>
      <c r="M930" s="26"/>
      <c r="N930" s="26"/>
    </row>
    <row r="931" spans="1:13" ht="16.5" thickBot="1">
      <c r="A931" s="391" t="s">
        <v>922</v>
      </c>
      <c r="B931" s="152" t="s">
        <v>85</v>
      </c>
      <c r="C931" s="846">
        <f>_xlfn.CEILING.MATH((C930+25*$Z$1),0.1)</f>
        <v>104</v>
      </c>
      <c r="D931" s="848"/>
      <c r="E931" s="846">
        <f>_xlfn.CEILING.MATH((E930+25*$Z$1),0.1)</f>
        <v>149.5</v>
      </c>
      <c r="F931" s="848"/>
      <c r="G931" s="846">
        <f>_xlfn.CEILING.MATH((G930+25*$Z$1),0.1)</f>
        <v>136.5</v>
      </c>
      <c r="H931" s="848"/>
      <c r="I931" s="846">
        <f>_xlfn.CEILING.MATH((I930+25*$Z$1),0.1)</f>
        <v>144.3</v>
      </c>
      <c r="J931" s="848"/>
      <c r="K931" s="846">
        <f>_xlfn.CEILING.MATH((K930+25*$Z$1),0.1)</f>
        <v>123.5</v>
      </c>
      <c r="L931" s="848"/>
      <c r="M931" s="244"/>
    </row>
    <row r="932" spans="1:14" ht="16.5" customHeight="1" thickTop="1">
      <c r="A932" s="834" t="s">
        <v>16</v>
      </c>
      <c r="B932" s="834"/>
      <c r="C932" s="834"/>
      <c r="D932" s="834"/>
      <c r="E932" s="834"/>
      <c r="F932" s="834"/>
      <c r="G932" s="834"/>
      <c r="H932" s="834"/>
      <c r="I932" s="834"/>
      <c r="J932" s="834"/>
      <c r="K932" s="440"/>
      <c r="L932" s="440"/>
      <c r="M932" s="60"/>
      <c r="N932" s="60"/>
    </row>
    <row r="933" spans="1:25" s="724" customFormat="1" ht="16.5" customHeight="1">
      <c r="A933" s="248" t="s">
        <v>650</v>
      </c>
      <c r="B933" s="733"/>
      <c r="C933" s="733"/>
      <c r="D933" s="733"/>
      <c r="E933" s="733"/>
      <c r="F933" s="733"/>
      <c r="G933" s="733"/>
      <c r="H933" s="733"/>
      <c r="I933" s="733"/>
      <c r="J933" s="733"/>
      <c r="K933" s="440"/>
      <c r="L933" s="440"/>
      <c r="M933" s="60"/>
      <c r="N933" s="60"/>
      <c r="O933" s="244"/>
      <c r="P933" s="244"/>
      <c r="Q933" s="244"/>
      <c r="R933" s="244"/>
      <c r="S933" s="244"/>
      <c r="T933" s="244"/>
      <c r="U933" s="244"/>
      <c r="V933" s="244"/>
      <c r="W933" s="244"/>
      <c r="X933" s="244"/>
      <c r="Y933" s="244"/>
    </row>
    <row r="934" spans="1:14" ht="21.75" customHeight="1" thickBot="1">
      <c r="A934" s="1008"/>
      <c r="B934" s="1008"/>
      <c r="C934" s="1008"/>
      <c r="D934" s="1008"/>
      <c r="E934" s="1008"/>
      <c r="F934" s="1008"/>
      <c r="G934" s="1008"/>
      <c r="H934" s="1008"/>
      <c r="I934" s="1008"/>
      <c r="J934" s="1008"/>
      <c r="K934" s="241"/>
      <c r="L934" s="241"/>
      <c r="M934" s="18"/>
      <c r="N934" s="226"/>
    </row>
    <row r="935" spans="1:14" ht="24" customHeight="1" thickTop="1">
      <c r="A935" s="93" t="s">
        <v>74</v>
      </c>
      <c r="B935" s="10"/>
      <c r="C935" s="420" t="s">
        <v>599</v>
      </c>
      <c r="D935" s="421"/>
      <c r="E935" s="422" t="s">
        <v>600</v>
      </c>
      <c r="F935" s="423"/>
      <c r="G935" s="422" t="s">
        <v>601</v>
      </c>
      <c r="H935" s="423"/>
      <c r="I935" s="422" t="s">
        <v>602</v>
      </c>
      <c r="J935" s="423"/>
      <c r="K935" s="422" t="s">
        <v>603</v>
      </c>
      <c r="L935" s="599"/>
      <c r="M935" s="23"/>
      <c r="N935" s="226"/>
    </row>
    <row r="936" spans="1:14" ht="17.25" customHeight="1">
      <c r="A936" s="339" t="s">
        <v>306</v>
      </c>
      <c r="B936" s="34" t="s">
        <v>431</v>
      </c>
      <c r="C936" s="840">
        <f>CEILING(70*$Z$1,0.1)</f>
        <v>91</v>
      </c>
      <c r="D936" s="844"/>
      <c r="E936" s="840">
        <f>CEILING(100*$Z$1,0.1)</f>
        <v>130</v>
      </c>
      <c r="F936" s="844"/>
      <c r="G936" s="840">
        <f>CEILING(90*$Z$1,0.1)</f>
        <v>117</v>
      </c>
      <c r="H936" s="844"/>
      <c r="I936" s="840">
        <f>CEILING(95*$Z$1,0.1)</f>
        <v>123.5</v>
      </c>
      <c r="J936" s="844"/>
      <c r="K936" s="840">
        <f>CEILING(75*$Z$1,0.1)</f>
        <v>97.5</v>
      </c>
      <c r="L936" s="844"/>
      <c r="M936" s="23"/>
      <c r="N936" s="226"/>
    </row>
    <row r="937" spans="1:14" ht="17.25" customHeight="1">
      <c r="A937" s="262" t="s">
        <v>76</v>
      </c>
      <c r="B937" s="14" t="s">
        <v>432</v>
      </c>
      <c r="C937" s="840">
        <f>_xlfn.CEILING.MATH((C936+30*$Z$1),0.1)</f>
        <v>130</v>
      </c>
      <c r="D937" s="841"/>
      <c r="E937" s="840">
        <f>_xlfn.CEILING.MATH((E936+30*$Z$1),0.1)</f>
        <v>169</v>
      </c>
      <c r="F937" s="841"/>
      <c r="G937" s="840">
        <f>_xlfn.CEILING.MATH((G936+30*$Z$1),0.1)</f>
        <v>156</v>
      </c>
      <c r="H937" s="841"/>
      <c r="I937" s="840">
        <f>_xlfn.CEILING.MATH((I936+30*$Z$1),0.1)</f>
        <v>162.5</v>
      </c>
      <c r="J937" s="841"/>
      <c r="K937" s="840">
        <f>_xlfn.CEILING.MATH((K936+30*$Z$1),0.1)</f>
        <v>136.5</v>
      </c>
      <c r="L937" s="841"/>
      <c r="M937" s="23"/>
      <c r="N937" s="226"/>
    </row>
    <row r="938" spans="1:14" ht="18" customHeight="1">
      <c r="A938" s="262"/>
      <c r="B938" s="14" t="s">
        <v>116</v>
      </c>
      <c r="C938" s="840">
        <f>CEILING((C936*0.85),0.1)</f>
        <v>77.4</v>
      </c>
      <c r="D938" s="841"/>
      <c r="E938" s="840">
        <f>CEILING((E936*0.85),0.1)</f>
        <v>110.5</v>
      </c>
      <c r="F938" s="841"/>
      <c r="G938" s="840">
        <f>CEILING((G936*0.85),0.1)</f>
        <v>99.5</v>
      </c>
      <c r="H938" s="841"/>
      <c r="I938" s="840">
        <f>CEILING((I936*0.85),0.1)</f>
        <v>105</v>
      </c>
      <c r="J938" s="841"/>
      <c r="K938" s="840">
        <f>CEILING((K936*0.85),0.1)</f>
        <v>82.9</v>
      </c>
      <c r="L938" s="844"/>
      <c r="M938" s="23"/>
      <c r="N938" s="226"/>
    </row>
    <row r="939" spans="1:14" ht="15.75" customHeight="1">
      <c r="A939" s="340"/>
      <c r="B939" s="205" t="s">
        <v>115</v>
      </c>
      <c r="C939" s="842">
        <v>0</v>
      </c>
      <c r="D939" s="843"/>
      <c r="E939" s="842">
        <v>0</v>
      </c>
      <c r="F939" s="843"/>
      <c r="G939" s="842">
        <v>0</v>
      </c>
      <c r="H939" s="843"/>
      <c r="I939" s="842">
        <v>0</v>
      </c>
      <c r="J939" s="843"/>
      <c r="K939" s="842">
        <v>0</v>
      </c>
      <c r="L939" s="843"/>
      <c r="M939" s="23"/>
      <c r="N939" s="226"/>
    </row>
    <row r="940" spans="1:14" ht="15.75" customHeight="1">
      <c r="A940" s="262"/>
      <c r="B940" s="12" t="s">
        <v>466</v>
      </c>
      <c r="C940" s="840">
        <f>_xlfn.CEILING.MATH((C936+25*$Z$1),0.1)</f>
        <v>123.5</v>
      </c>
      <c r="D940" s="841"/>
      <c r="E940" s="840">
        <f>_xlfn.CEILING.MATH((E936+25*$Z$1),0.1)</f>
        <v>162.5</v>
      </c>
      <c r="F940" s="841"/>
      <c r="G940" s="840">
        <f>_xlfn.CEILING.MATH((G936+25*$Z$1),0.1)</f>
        <v>149.5</v>
      </c>
      <c r="H940" s="841"/>
      <c r="I940" s="840">
        <f>_xlfn.CEILING.MATH((I936+25*$Z$1),0.1)</f>
        <v>156</v>
      </c>
      <c r="J940" s="841"/>
      <c r="K940" s="840">
        <f>_xlfn.CEILING.MATH((K936+25*$Z$1),0.1)</f>
        <v>130</v>
      </c>
      <c r="L940" s="841"/>
      <c r="M940" s="23"/>
      <c r="N940" s="226"/>
    </row>
    <row r="941" spans="1:14" ht="15">
      <c r="A941" s="262"/>
      <c r="B941" s="12" t="s">
        <v>467</v>
      </c>
      <c r="C941" s="840">
        <f>_xlfn.CEILING.MATH((C940+30*$Z$1),0.1)</f>
        <v>162.5</v>
      </c>
      <c r="D941" s="841"/>
      <c r="E941" s="840">
        <f>_xlfn.CEILING.MATH((E940+30*$Z$1),0.1)</f>
        <v>201.5</v>
      </c>
      <c r="F941" s="841"/>
      <c r="G941" s="840">
        <f>_xlfn.CEILING.MATH((G940+30*$Z$1),0.1)</f>
        <v>188.5</v>
      </c>
      <c r="H941" s="841"/>
      <c r="I941" s="840">
        <f>_xlfn.CEILING.MATH((I940+30*$Z$1),0.1)</f>
        <v>195</v>
      </c>
      <c r="J941" s="841"/>
      <c r="K941" s="840">
        <f>_xlfn.CEILING.MATH((K940+30*$Z$1),0.1)</f>
        <v>169</v>
      </c>
      <c r="L941" s="841"/>
      <c r="M941" s="18"/>
      <c r="N941" s="226"/>
    </row>
    <row r="942" spans="1:14" ht="15">
      <c r="A942" s="262"/>
      <c r="B942" s="12" t="s">
        <v>15</v>
      </c>
      <c r="C942" s="840">
        <f>_xlfn.CEILING.MATH((C936+30*$Z$1),0.1)</f>
        <v>130</v>
      </c>
      <c r="D942" s="841"/>
      <c r="E942" s="840">
        <f>_xlfn.CEILING.MATH((E936+30*$Z$1),0.1)</f>
        <v>169</v>
      </c>
      <c r="F942" s="841"/>
      <c r="G942" s="840">
        <f>_xlfn.CEILING.MATH((G936+30*$Z$1),0.1)</f>
        <v>156</v>
      </c>
      <c r="H942" s="841"/>
      <c r="I942" s="840">
        <f>_xlfn.CEILING.MATH((I936+30*$Z$1),0.1)</f>
        <v>162.5</v>
      </c>
      <c r="J942" s="841"/>
      <c r="K942" s="840">
        <f>_xlfn.CEILING.MATH((K936+30*$Z$1),0.1)</f>
        <v>136.5</v>
      </c>
      <c r="L942" s="841"/>
      <c r="M942" s="122"/>
      <c r="N942" s="122"/>
    </row>
    <row r="943" spans="1:14" ht="16.5" customHeight="1" thickBot="1">
      <c r="A943" s="391" t="s">
        <v>921</v>
      </c>
      <c r="B943" s="49" t="s">
        <v>652</v>
      </c>
      <c r="C943" s="846">
        <f>_xlfn.CEILING.MATH((C942+50*$Z$1),0.1)</f>
        <v>195</v>
      </c>
      <c r="D943" s="848"/>
      <c r="E943" s="846">
        <f>_xlfn.CEILING.MATH((E942+50*$Z$1),0.1)</f>
        <v>234</v>
      </c>
      <c r="F943" s="848"/>
      <c r="G943" s="846">
        <f>_xlfn.CEILING.MATH((G942+50*$Z$1),0.1)</f>
        <v>221</v>
      </c>
      <c r="H943" s="848"/>
      <c r="I943" s="846">
        <f>_xlfn.CEILING.MATH((I942+50*$Z$1),0.1)</f>
        <v>227.5</v>
      </c>
      <c r="J943" s="848"/>
      <c r="K943" s="846">
        <f>_xlfn.CEILING.MATH((K942+50*$Z$1),0.1)</f>
        <v>201.5</v>
      </c>
      <c r="L943" s="848"/>
      <c r="M943" s="3"/>
      <c r="N943" s="3"/>
    </row>
    <row r="944" spans="1:14" ht="18.75" customHeight="1" thickTop="1">
      <c r="A944" s="834" t="s">
        <v>327</v>
      </c>
      <c r="B944" s="834"/>
      <c r="C944" s="834"/>
      <c r="D944" s="834"/>
      <c r="E944" s="834"/>
      <c r="F944" s="834"/>
      <c r="G944" s="834"/>
      <c r="H944" s="834"/>
      <c r="I944" s="834"/>
      <c r="J944" s="834"/>
      <c r="K944" s="503"/>
      <c r="L944" s="503"/>
      <c r="M944" s="3"/>
      <c r="N944" s="3"/>
    </row>
    <row r="945" spans="1:25" s="724" customFormat="1" ht="18.75" customHeight="1">
      <c r="A945" s="248" t="s">
        <v>653</v>
      </c>
      <c r="B945" s="733"/>
      <c r="C945" s="733"/>
      <c r="D945" s="733"/>
      <c r="E945" s="733"/>
      <c r="F945" s="733"/>
      <c r="G945" s="733"/>
      <c r="H945" s="733"/>
      <c r="I945" s="733"/>
      <c r="J945" s="733"/>
      <c r="K945" s="503"/>
      <c r="L945" s="503"/>
      <c r="M945" s="3"/>
      <c r="N945" s="3"/>
      <c r="O945" s="244"/>
      <c r="P945" s="244"/>
      <c r="Q945" s="244"/>
      <c r="R945" s="244"/>
      <c r="S945" s="244"/>
      <c r="T945" s="244"/>
      <c r="U945" s="244"/>
      <c r="V945" s="244"/>
      <c r="W945" s="244"/>
      <c r="X945" s="244"/>
      <c r="Y945" s="244"/>
    </row>
    <row r="946" spans="1:14" ht="17.25" customHeight="1" thickBot="1">
      <c r="A946" s="150"/>
      <c r="B946" s="150"/>
      <c r="C946" s="144"/>
      <c r="D946" s="144"/>
      <c r="E946" s="144"/>
      <c r="F946" s="144"/>
      <c r="G946" s="144"/>
      <c r="H946" s="144"/>
      <c r="I946" s="144"/>
      <c r="J946" s="144"/>
      <c r="K946" s="240"/>
      <c r="L946" s="241"/>
      <c r="M946" s="3"/>
      <c r="N946" s="3"/>
    </row>
    <row r="947" spans="1:14" ht="24.75" customHeight="1" thickTop="1">
      <c r="A947" s="93" t="s">
        <v>74</v>
      </c>
      <c r="B947" s="93"/>
      <c r="C947" s="420" t="s">
        <v>599</v>
      </c>
      <c r="D947" s="421"/>
      <c r="E947" s="422" t="s">
        <v>600</v>
      </c>
      <c r="F947" s="423"/>
      <c r="G947" s="422" t="s">
        <v>601</v>
      </c>
      <c r="H947" s="423"/>
      <c r="I947" s="422" t="s">
        <v>602</v>
      </c>
      <c r="J947" s="423"/>
      <c r="K947" s="422" t="s">
        <v>603</v>
      </c>
      <c r="L947" s="599"/>
      <c r="M947" s="81"/>
      <c r="N947" s="26"/>
    </row>
    <row r="948" spans="1:14" ht="15.75" customHeight="1">
      <c r="A948" s="303" t="s">
        <v>186</v>
      </c>
      <c r="B948" s="45" t="s">
        <v>82</v>
      </c>
      <c r="C948" s="840">
        <f>CEILING(50*$Z$1,0.1)</f>
        <v>65</v>
      </c>
      <c r="D948" s="844"/>
      <c r="E948" s="840">
        <f>CEILING(80*$Z$1,0.1)</f>
        <v>104</v>
      </c>
      <c r="F948" s="844"/>
      <c r="G948" s="840">
        <f>CEILING(70*$Z$1,0.1)</f>
        <v>91</v>
      </c>
      <c r="H948" s="844"/>
      <c r="I948" s="840">
        <f>CEILING(79*$Z$1,0.1)</f>
        <v>102.7</v>
      </c>
      <c r="J948" s="844"/>
      <c r="K948" s="840">
        <f>CEILING(63*$Z$1,0.1)</f>
        <v>81.9</v>
      </c>
      <c r="L948" s="844"/>
      <c r="M948" s="81"/>
      <c r="N948" s="26"/>
    </row>
    <row r="949" spans="1:14" ht="15">
      <c r="A949" s="262" t="s">
        <v>91</v>
      </c>
      <c r="B949" s="14" t="s">
        <v>83</v>
      </c>
      <c r="C949" s="840">
        <f>_xlfn.CEILING.MATH((C948+25*$Z$1),0.1)</f>
        <v>97.5</v>
      </c>
      <c r="D949" s="841"/>
      <c r="E949" s="840">
        <f>_xlfn.CEILING.MATH((E948+25*$Z$1),0.1)</f>
        <v>136.5</v>
      </c>
      <c r="F949" s="841"/>
      <c r="G949" s="840">
        <f>_xlfn.CEILING.MATH((G948+25*$Z$1),0.1)</f>
        <v>123.5</v>
      </c>
      <c r="H949" s="841"/>
      <c r="I949" s="840">
        <f>_xlfn.CEILING.MATH((I948+25*$Z$1),0.1)</f>
        <v>135.20000000000002</v>
      </c>
      <c r="J949" s="841"/>
      <c r="K949" s="840">
        <f>_xlfn.CEILING.MATH((K948+25*$Z$1),0.1)</f>
        <v>114.4</v>
      </c>
      <c r="L949" s="844"/>
      <c r="M949" s="81"/>
      <c r="N949" s="26"/>
    </row>
    <row r="950" spans="1:14" ht="17.25" customHeight="1">
      <c r="A950" s="262"/>
      <c r="B950" s="14" t="s">
        <v>116</v>
      </c>
      <c r="C950" s="840">
        <f>CEILING((C948*0.85),0.1)</f>
        <v>55.300000000000004</v>
      </c>
      <c r="D950" s="841"/>
      <c r="E950" s="840">
        <f>CEILING((E948*0.85),0.1)</f>
        <v>88.4</v>
      </c>
      <c r="F950" s="841"/>
      <c r="G950" s="840">
        <f>CEILING((G948*0.85),0.1)</f>
        <v>77.4</v>
      </c>
      <c r="H950" s="841"/>
      <c r="I950" s="840">
        <f>CEILING((I948*0.85),0.1)</f>
        <v>87.30000000000001</v>
      </c>
      <c r="J950" s="841"/>
      <c r="K950" s="840">
        <f>CEILING((K948*0.85),0.1)</f>
        <v>69.7</v>
      </c>
      <c r="L950" s="844"/>
      <c r="M950" s="81"/>
      <c r="N950" s="26"/>
    </row>
    <row r="951" spans="1:14" ht="16.5" customHeight="1">
      <c r="A951" s="262"/>
      <c r="B951" s="205" t="s">
        <v>115</v>
      </c>
      <c r="C951" s="842">
        <v>0</v>
      </c>
      <c r="D951" s="843"/>
      <c r="E951" s="842">
        <v>0</v>
      </c>
      <c r="F951" s="843"/>
      <c r="G951" s="842">
        <v>0</v>
      </c>
      <c r="H951" s="843"/>
      <c r="I951" s="842">
        <v>0</v>
      </c>
      <c r="J951" s="843"/>
      <c r="K951" s="842">
        <v>0</v>
      </c>
      <c r="L951" s="845"/>
      <c r="M951" s="23"/>
      <c r="N951" s="226"/>
    </row>
    <row r="952" spans="1:16" ht="16.5" customHeight="1">
      <c r="A952" s="262"/>
      <c r="B952" s="13" t="s">
        <v>84</v>
      </c>
      <c r="C952" s="840">
        <f>_xlfn.CEILING.MATH((C948+10*$Z$1),0.1)</f>
        <v>78</v>
      </c>
      <c r="D952" s="841"/>
      <c r="E952" s="840">
        <f>_xlfn.CEILING.MATH((E948+10*$Z$1),0.1)</f>
        <v>117</v>
      </c>
      <c r="F952" s="841"/>
      <c r="G952" s="840">
        <f>_xlfn.CEILING.MATH((G948+10*$Z$1),0.1)</f>
        <v>104</v>
      </c>
      <c r="H952" s="841"/>
      <c r="I952" s="840">
        <f>_xlfn.CEILING.MATH((I948+10*$Z$1),0.1)</f>
        <v>115.7</v>
      </c>
      <c r="J952" s="841"/>
      <c r="K952" s="840">
        <f>_xlfn.CEILING.MATH((K948+10*$Z$1),0.1)</f>
        <v>94.9</v>
      </c>
      <c r="L952" s="844"/>
      <c r="M952" s="23"/>
      <c r="N952" s="226"/>
      <c r="O952" s="440"/>
      <c r="P952" s="440"/>
    </row>
    <row r="953" spans="1:16" ht="16.5" customHeight="1">
      <c r="A953" s="262"/>
      <c r="B953" s="13" t="s">
        <v>85</v>
      </c>
      <c r="C953" s="840">
        <f>_xlfn.CEILING.MATH((C952+25*$Z$1),0.1)</f>
        <v>110.5</v>
      </c>
      <c r="D953" s="841"/>
      <c r="E953" s="840">
        <f>_xlfn.CEILING.MATH((E952+25*$Z$1),0.1)</f>
        <v>149.5</v>
      </c>
      <c r="F953" s="841"/>
      <c r="G953" s="840">
        <f>_xlfn.CEILING.MATH((G952+25*$Z$1),0.1)</f>
        <v>136.5</v>
      </c>
      <c r="H953" s="841"/>
      <c r="I953" s="840">
        <f>_xlfn.CEILING.MATH((I952+25*$Z$1),0.1)</f>
        <v>148.20000000000002</v>
      </c>
      <c r="J953" s="841"/>
      <c r="K953" s="840">
        <f>_xlfn.CEILING.MATH((K952+25*$Z$1),0.1)</f>
        <v>127.4</v>
      </c>
      <c r="L953" s="841"/>
      <c r="M953" s="23"/>
      <c r="N953" s="226"/>
      <c r="O953" s="440"/>
      <c r="P953" s="440"/>
    </row>
    <row r="954" spans="1:16" ht="15">
      <c r="A954" s="262"/>
      <c r="B954" s="12" t="s">
        <v>17</v>
      </c>
      <c r="C954" s="840">
        <f>_xlfn.CEILING.MATH((C948+20*$Z$1),0.1)</f>
        <v>91</v>
      </c>
      <c r="D954" s="841"/>
      <c r="E954" s="840">
        <f>_xlfn.CEILING.MATH((E948+20*$Z$1),0.1)</f>
        <v>130</v>
      </c>
      <c r="F954" s="841"/>
      <c r="G954" s="840">
        <f>_xlfn.CEILING.MATH((G948+20*$Z$1),0.1)</f>
        <v>117</v>
      </c>
      <c r="H954" s="841"/>
      <c r="I954" s="840">
        <f>_xlfn.CEILING.MATH((I948+20*$Z$1),0.1)</f>
        <v>128.70000000000002</v>
      </c>
      <c r="J954" s="841"/>
      <c r="K954" s="840">
        <f>_xlfn.CEILING.MATH((K948+20*$Z$1),0.1)</f>
        <v>107.9</v>
      </c>
      <c r="L954" s="841"/>
      <c r="M954" s="23"/>
      <c r="N954" s="226"/>
      <c r="O954" s="440"/>
      <c r="P954" s="241"/>
    </row>
    <row r="955" spans="1:16" ht="18" customHeight="1" thickBot="1">
      <c r="A955" s="391" t="s">
        <v>905</v>
      </c>
      <c r="B955" s="49" t="s">
        <v>18</v>
      </c>
      <c r="C955" s="846">
        <f>_xlfn.CEILING.MATH((C954+25*$Z$1),0.1)</f>
        <v>123.5</v>
      </c>
      <c r="D955" s="848"/>
      <c r="E955" s="846">
        <f>_xlfn.CEILING.MATH((E954+25*$Z$1),0.1)</f>
        <v>162.5</v>
      </c>
      <c r="F955" s="848"/>
      <c r="G955" s="846">
        <f>_xlfn.CEILING.MATH((G954+25*$Z$1),0.1)</f>
        <v>149.5</v>
      </c>
      <c r="H955" s="848"/>
      <c r="I955" s="846">
        <f>_xlfn.CEILING.MATH((I954+25*$Z$1),0.1)</f>
        <v>161.20000000000002</v>
      </c>
      <c r="J955" s="848"/>
      <c r="K955" s="846">
        <f>_xlfn.CEILING.MATH((K954+25*$Z$1),0.1)</f>
        <v>140.4</v>
      </c>
      <c r="L955" s="848"/>
      <c r="M955" s="23"/>
      <c r="N955" s="226"/>
      <c r="O955" s="440"/>
      <c r="P955" s="241"/>
    </row>
    <row r="956" spans="1:14" ht="18.75" customHeight="1" thickTop="1">
      <c r="A956" s="834" t="s">
        <v>16</v>
      </c>
      <c r="B956" s="834"/>
      <c r="C956" s="834"/>
      <c r="D956" s="834"/>
      <c r="E956" s="834"/>
      <c r="F956" s="834"/>
      <c r="G956" s="834"/>
      <c r="H956" s="834"/>
      <c r="I956" s="834"/>
      <c r="J956" s="834"/>
      <c r="K956" s="503"/>
      <c r="L956" s="503"/>
      <c r="M956" s="151"/>
      <c r="N956" s="151"/>
    </row>
    <row r="957" spans="1:25" s="724" customFormat="1" ht="18.75" customHeight="1">
      <c r="A957" s="248" t="s">
        <v>650</v>
      </c>
      <c r="B957" s="733"/>
      <c r="C957" s="733"/>
      <c r="D957" s="733"/>
      <c r="E957" s="733"/>
      <c r="F957" s="733"/>
      <c r="G957" s="733"/>
      <c r="H957" s="733"/>
      <c r="I957" s="733"/>
      <c r="J957" s="733"/>
      <c r="K957" s="503"/>
      <c r="L957" s="503"/>
      <c r="M957" s="151"/>
      <c r="N957" s="151"/>
      <c r="O957" s="244"/>
      <c r="P957" s="244"/>
      <c r="Q957" s="244"/>
      <c r="R957" s="244"/>
      <c r="S957" s="244"/>
      <c r="T957" s="244"/>
      <c r="U957" s="244"/>
      <c r="V957" s="244"/>
      <c r="W957" s="244"/>
      <c r="X957" s="244"/>
      <c r="Y957" s="244"/>
    </row>
    <row r="958" spans="1:14" ht="15" customHeight="1" thickBot="1">
      <c r="A958" s="150"/>
      <c r="B958" s="131"/>
      <c r="C958" s="131"/>
      <c r="D958" s="131"/>
      <c r="E958" s="131"/>
      <c r="F958" s="131"/>
      <c r="G958" s="131"/>
      <c r="H958" s="131"/>
      <c r="I958" s="904"/>
      <c r="J958" s="904"/>
      <c r="K958" s="490"/>
      <c r="L958" s="490"/>
      <c r="M958" s="151"/>
      <c r="N958" s="151"/>
    </row>
    <row r="959" spans="1:14" ht="24" customHeight="1" thickTop="1">
      <c r="A959" s="153" t="s">
        <v>74</v>
      </c>
      <c r="B959" s="75"/>
      <c r="C959" s="852" t="s">
        <v>665</v>
      </c>
      <c r="D959" s="853"/>
      <c r="E959" s="852" t="s">
        <v>716</v>
      </c>
      <c r="F959" s="853"/>
      <c r="G959" s="852" t="s">
        <v>721</v>
      </c>
      <c r="H959" s="853"/>
      <c r="I959" s="870" t="s">
        <v>668</v>
      </c>
      <c r="J959" s="912"/>
      <c r="K959" s="856"/>
      <c r="L959" s="857"/>
      <c r="M959" s="151"/>
      <c r="N959" s="151"/>
    </row>
    <row r="960" spans="1:14" ht="15">
      <c r="A960" s="132" t="s">
        <v>546</v>
      </c>
      <c r="B960" s="101" t="s">
        <v>82</v>
      </c>
      <c r="C960" s="840">
        <f>CEILING(52*$Z$1,0.1)</f>
        <v>67.60000000000001</v>
      </c>
      <c r="D960" s="844"/>
      <c r="E960" s="840">
        <f>CEILING(89*$Z$1,0.1)</f>
        <v>115.7</v>
      </c>
      <c r="F960" s="844"/>
      <c r="G960" s="840">
        <f>CEILING(68*$Z$1,0.1)</f>
        <v>88.4</v>
      </c>
      <c r="H960" s="844"/>
      <c r="I960" s="840">
        <f>CEILING(55*$Z$1,0.1)</f>
        <v>71.5</v>
      </c>
      <c r="J960" s="844"/>
      <c r="K960" s="842"/>
      <c r="L960" s="845"/>
      <c r="M960" s="151"/>
      <c r="N960" s="151"/>
    </row>
    <row r="961" spans="1:14" ht="15">
      <c r="A961" s="33" t="s">
        <v>91</v>
      </c>
      <c r="B961" s="34" t="s">
        <v>83</v>
      </c>
      <c r="C961" s="840">
        <f>_xlfn.CEILING.MATH((C960+18*$Z$1),0.1)</f>
        <v>91</v>
      </c>
      <c r="D961" s="841"/>
      <c r="E961" s="840">
        <f>_xlfn.CEILING.MATH((E960+18*$Z$1),0.1)</f>
        <v>139.1</v>
      </c>
      <c r="F961" s="841"/>
      <c r="G961" s="840">
        <f>_xlfn.CEILING.MATH((G960+18*$Z$1),0.1)</f>
        <v>111.80000000000001</v>
      </c>
      <c r="H961" s="841"/>
      <c r="I961" s="840">
        <f>_xlfn.CEILING.MATH((I960+18*$Z$1),0.1)</f>
        <v>94.9</v>
      </c>
      <c r="J961" s="841"/>
      <c r="K961" s="842"/>
      <c r="L961" s="845"/>
      <c r="M961" s="151"/>
      <c r="N961" s="151"/>
    </row>
    <row r="962" spans="1:14" ht="15">
      <c r="A962" s="261"/>
      <c r="B962" s="14" t="s">
        <v>116</v>
      </c>
      <c r="C962" s="840">
        <f>CEILING((C960*0.85),0.1)</f>
        <v>57.5</v>
      </c>
      <c r="D962" s="841"/>
      <c r="E962" s="840">
        <f>CEILING((E960*0.85),0.1)</f>
        <v>98.4</v>
      </c>
      <c r="F962" s="841"/>
      <c r="G962" s="840">
        <f>CEILING((G960*0.85),0.1)</f>
        <v>75.2</v>
      </c>
      <c r="H962" s="841"/>
      <c r="I962" s="840">
        <f>CEILING((I960*0.85),0.1)</f>
        <v>60.800000000000004</v>
      </c>
      <c r="J962" s="844"/>
      <c r="K962" s="842"/>
      <c r="L962" s="845"/>
      <c r="M962" s="151"/>
      <c r="N962" s="151"/>
    </row>
    <row r="963" spans="1:14" ht="15">
      <c r="A963" s="243"/>
      <c r="B963" s="14" t="s">
        <v>126</v>
      </c>
      <c r="C963" s="842">
        <v>0</v>
      </c>
      <c r="D963" s="843"/>
      <c r="E963" s="840">
        <f>CEILING((E960*0.5),0.1)</f>
        <v>57.900000000000006</v>
      </c>
      <c r="F963" s="841"/>
      <c r="G963" s="840">
        <f>CEILING((G960*0.5),0.1)</f>
        <v>44.2</v>
      </c>
      <c r="H963" s="841"/>
      <c r="I963" s="842">
        <v>0</v>
      </c>
      <c r="J963" s="843"/>
      <c r="K963" s="842"/>
      <c r="L963" s="845"/>
      <c r="M963" s="151"/>
      <c r="N963" s="151"/>
    </row>
    <row r="964" spans="1:14" ht="15">
      <c r="A964" s="243"/>
      <c r="B964" s="12" t="s">
        <v>295</v>
      </c>
      <c r="C964" s="840">
        <f>_xlfn.CEILING.MATH((C960+10*$Z$1),0.1)</f>
        <v>80.60000000000001</v>
      </c>
      <c r="D964" s="841"/>
      <c r="E964" s="840">
        <f>_xlfn.CEILING.MATH((E960+10*$Z$1),0.1)</f>
        <v>128.70000000000002</v>
      </c>
      <c r="F964" s="841"/>
      <c r="G964" s="840">
        <f>_xlfn.CEILING.MATH((G960+10*$Z$1),0.1)</f>
        <v>101.4</v>
      </c>
      <c r="H964" s="841"/>
      <c r="I964" s="840">
        <f>_xlfn.CEILING.MATH((I960+10*$Z$1),0.1)</f>
        <v>84.5</v>
      </c>
      <c r="J964" s="841"/>
      <c r="K964" s="842"/>
      <c r="L964" s="845"/>
      <c r="M964" s="151"/>
      <c r="N964" s="151"/>
    </row>
    <row r="965" spans="1:14" ht="15.75" thickBot="1">
      <c r="A965" s="73" t="s">
        <v>901</v>
      </c>
      <c r="B965" s="15" t="s">
        <v>111</v>
      </c>
      <c r="C965" s="846">
        <f>_xlfn.CEILING.MATH((C964+18*$Z$1),0.1)</f>
        <v>104</v>
      </c>
      <c r="D965" s="848"/>
      <c r="E965" s="846">
        <f>_xlfn.CEILING.MATH((E964+18*$Z$1),0.1)</f>
        <v>152.1</v>
      </c>
      <c r="F965" s="848"/>
      <c r="G965" s="846">
        <f>_xlfn.CEILING.MATH((G964+18*$Z$1),0.1)</f>
        <v>124.80000000000001</v>
      </c>
      <c r="H965" s="848"/>
      <c r="I965" s="846">
        <f>_xlfn.CEILING.MATH((I964+18*$Z$1),0.1)</f>
        <v>107.9</v>
      </c>
      <c r="J965" s="848"/>
      <c r="K965" s="842"/>
      <c r="L965" s="845"/>
      <c r="M965" s="151"/>
      <c r="N965" s="151"/>
    </row>
    <row r="966" spans="1:14" ht="17.25" customHeight="1" thickTop="1">
      <c r="A966" s="24" t="s">
        <v>547</v>
      </c>
      <c r="B966" s="441"/>
      <c r="C966" s="24"/>
      <c r="D966" s="24"/>
      <c r="E966" s="1013"/>
      <c r="F966" s="1013"/>
      <c r="G966" s="1013"/>
      <c r="H966" s="1013"/>
      <c r="I966" s="1013"/>
      <c r="J966" s="1013"/>
      <c r="K966" s="503"/>
      <c r="L966" s="503"/>
      <c r="M966" s="151"/>
      <c r="N966" s="151"/>
    </row>
    <row r="967" spans="1:14" ht="15" customHeight="1">
      <c r="A967" s="248" t="s">
        <v>796</v>
      </c>
      <c r="B967" s="67"/>
      <c r="C967" s="67"/>
      <c r="D967" s="67"/>
      <c r="E967" s="67"/>
      <c r="F967" s="67"/>
      <c r="G967" s="67"/>
      <c r="H967" s="67"/>
      <c r="I967" s="67"/>
      <c r="J967" s="67"/>
      <c r="K967" s="241"/>
      <c r="L967" s="241"/>
      <c r="M967" s="151"/>
      <c r="N967" s="151"/>
    </row>
    <row r="968" spans="1:25" s="724" customFormat="1" ht="15" customHeight="1">
      <c r="A968" s="248" t="s">
        <v>816</v>
      </c>
      <c r="B968" s="67"/>
      <c r="C968" s="67"/>
      <c r="D968" s="67"/>
      <c r="E968" s="67"/>
      <c r="F968" s="67"/>
      <c r="G968" s="67"/>
      <c r="H968" s="67"/>
      <c r="I968" s="67"/>
      <c r="J968" s="67"/>
      <c r="K968" s="241"/>
      <c r="L968" s="241"/>
      <c r="M968" s="151"/>
      <c r="N968" s="151"/>
      <c r="O968" s="244"/>
      <c r="P968" s="244"/>
      <c r="Q968" s="244"/>
      <c r="R968" s="244"/>
      <c r="S968" s="244"/>
      <c r="T968" s="244"/>
      <c r="U968" s="244"/>
      <c r="V968" s="244"/>
      <c r="W968" s="244"/>
      <c r="X968" s="244"/>
      <c r="Y968" s="244"/>
    </row>
    <row r="969" spans="1:14" ht="18" customHeight="1" thickBot="1">
      <c r="A969" s="409"/>
      <c r="B969" s="131"/>
      <c r="C969" s="131"/>
      <c r="D969" s="131"/>
      <c r="E969" s="131"/>
      <c r="F969" s="131"/>
      <c r="G969" s="131"/>
      <c r="H969" s="131"/>
      <c r="I969" s="131"/>
      <c r="J969" s="131"/>
      <c r="K969" s="540"/>
      <c r="L969" s="540"/>
      <c r="M969" s="18"/>
      <c r="N969" s="226"/>
    </row>
    <row r="970" spans="1:14" ht="21.75" customHeight="1" thickTop="1">
      <c r="A970" s="57" t="s">
        <v>74</v>
      </c>
      <c r="B970" s="301"/>
      <c r="C970" s="889" t="s">
        <v>665</v>
      </c>
      <c r="D970" s="890"/>
      <c r="E970" s="858" t="s">
        <v>716</v>
      </c>
      <c r="F970" s="859"/>
      <c r="G970" s="860" t="s">
        <v>721</v>
      </c>
      <c r="H970" s="861"/>
      <c r="I970" s="860" t="s">
        <v>668</v>
      </c>
      <c r="J970" s="862"/>
      <c r="K970" s="541"/>
      <c r="L970" s="540"/>
      <c r="M970" s="18"/>
      <c r="N970" s="226"/>
    </row>
    <row r="971" spans="1:14" ht="15">
      <c r="A971" s="329" t="s">
        <v>187</v>
      </c>
      <c r="B971" s="384" t="s">
        <v>75</v>
      </c>
      <c r="C971" s="840">
        <f>CEILING(60*$Z$1,0.1)</f>
        <v>78</v>
      </c>
      <c r="D971" s="844"/>
      <c r="E971" s="840">
        <f>CEILING(99*$Z$1,0.1)</f>
        <v>128.70000000000002</v>
      </c>
      <c r="F971" s="844"/>
      <c r="G971" s="840">
        <f>CEILING(85*$Z$1,0.1)</f>
        <v>110.5</v>
      </c>
      <c r="H971" s="844"/>
      <c r="I971" s="840">
        <f>CEILING(70*$Z$1,0.1)</f>
        <v>91</v>
      </c>
      <c r="J971" s="844"/>
      <c r="K971" s="541"/>
      <c r="L971" s="540"/>
      <c r="M971" s="18"/>
      <c r="N971" s="226"/>
    </row>
    <row r="972" spans="1:14" ht="15">
      <c r="A972" s="262" t="s">
        <v>76</v>
      </c>
      <c r="B972" s="89" t="s">
        <v>77</v>
      </c>
      <c r="C972" s="840">
        <f>_xlfn.CEILING.MATH((C971+25*$Z$1),0.1)</f>
        <v>110.5</v>
      </c>
      <c r="D972" s="841"/>
      <c r="E972" s="840">
        <f>_xlfn.CEILING.MATH((E971+25*$Z$1),0.1)</f>
        <v>161.20000000000002</v>
      </c>
      <c r="F972" s="841"/>
      <c r="G972" s="840">
        <f>_xlfn.CEILING.MATH((G971+25*$Z$1),0.1)</f>
        <v>143</v>
      </c>
      <c r="H972" s="841"/>
      <c r="I972" s="840">
        <f>_xlfn.CEILING.MATH((I971+25*$Z$1),0.1)</f>
        <v>123.5</v>
      </c>
      <c r="J972" s="844"/>
      <c r="K972" s="541"/>
      <c r="L972" s="540"/>
      <c r="M972" s="18"/>
      <c r="N972" s="226"/>
    </row>
    <row r="973" spans="1:14" ht="15">
      <c r="A973" s="379"/>
      <c r="B973" s="14" t="s">
        <v>116</v>
      </c>
      <c r="C973" s="840">
        <f>CEILING((C971*0.85),0.1)</f>
        <v>66.3</v>
      </c>
      <c r="D973" s="841"/>
      <c r="E973" s="840">
        <f>CEILING((E971*0.85),0.1)</f>
        <v>109.4</v>
      </c>
      <c r="F973" s="841"/>
      <c r="G973" s="840">
        <f>CEILING((G971*0.85),0.1)</f>
        <v>94</v>
      </c>
      <c r="H973" s="841"/>
      <c r="I973" s="840">
        <f>CEILING((I971*0.85),0.1)</f>
        <v>77.4</v>
      </c>
      <c r="J973" s="841"/>
      <c r="K973" s="540"/>
      <c r="L973" s="540"/>
      <c r="M973" s="18"/>
      <c r="N973" s="226"/>
    </row>
    <row r="974" spans="1:14" ht="15">
      <c r="A974" s="385"/>
      <c r="B974" s="205" t="s">
        <v>115</v>
      </c>
      <c r="C974" s="840">
        <f>CEILING((C971*0.5),0.1)</f>
        <v>39</v>
      </c>
      <c r="D974" s="841"/>
      <c r="E974" s="840">
        <f>CEILING((E971*0.5),0.1)</f>
        <v>64.4</v>
      </c>
      <c r="F974" s="841"/>
      <c r="G974" s="840">
        <f>CEILING((G971*0.5),0.1)</f>
        <v>55.300000000000004</v>
      </c>
      <c r="H974" s="841"/>
      <c r="I974" s="840">
        <f>CEILING((I971*0.5),0.1)</f>
        <v>45.5</v>
      </c>
      <c r="J974" s="841"/>
      <c r="K974" s="540"/>
      <c r="L974" s="540"/>
      <c r="M974" s="18"/>
      <c r="N974" s="226"/>
    </row>
    <row r="975" spans="1:14" ht="15">
      <c r="A975" s="450"/>
      <c r="B975" s="205" t="s">
        <v>80</v>
      </c>
      <c r="C975" s="840">
        <f>_xlfn.CEILING.MATH((C971+10*$Z$1),0.1)</f>
        <v>91</v>
      </c>
      <c r="D975" s="841"/>
      <c r="E975" s="840">
        <f>_xlfn.CEILING.MATH((E971+10*$Z$1),0.1)</f>
        <v>141.70000000000002</v>
      </c>
      <c r="F975" s="841"/>
      <c r="G975" s="840">
        <f>_xlfn.CEILING.MATH((G971+10*$Z$1),0.1)</f>
        <v>123.5</v>
      </c>
      <c r="H975" s="841"/>
      <c r="I975" s="840">
        <f>_xlfn.CEILING.MATH((I971+10*$Z$1),0.1)</f>
        <v>104</v>
      </c>
      <c r="J975" s="841"/>
      <c r="K975" s="540"/>
      <c r="L975" s="540"/>
      <c r="M975" s="18"/>
      <c r="N975" s="226"/>
    </row>
    <row r="976" spans="1:14" ht="14.25" customHeight="1">
      <c r="A976" s="385"/>
      <c r="B976" s="205" t="s">
        <v>275</v>
      </c>
      <c r="C976" s="840">
        <f>_xlfn.CEILING.MATH((C975+25*$Z$1),0.1)</f>
        <v>123.5</v>
      </c>
      <c r="D976" s="841"/>
      <c r="E976" s="840">
        <f>_xlfn.CEILING.MATH((E975+25*$Z$1),0.1)</f>
        <v>174.20000000000002</v>
      </c>
      <c r="F976" s="841"/>
      <c r="G976" s="840">
        <f>_xlfn.CEILING.MATH((G975+25*$Z$1),0.1)</f>
        <v>156</v>
      </c>
      <c r="H976" s="841"/>
      <c r="I976" s="840">
        <f>_xlfn.CEILING.MATH((I975+25*$Z$1),0.1)</f>
        <v>136.5</v>
      </c>
      <c r="J976" s="841"/>
      <c r="K976" s="540"/>
      <c r="L976" s="540"/>
      <c r="M976" s="18"/>
      <c r="N976" s="226"/>
    </row>
    <row r="977" spans="1:14" ht="14.25" customHeight="1">
      <c r="A977" s="385"/>
      <c r="B977" s="205" t="s">
        <v>88</v>
      </c>
      <c r="C977" s="840">
        <f>_xlfn.CEILING.MATH((C971+35*$Z$1),0.1)</f>
        <v>123.5</v>
      </c>
      <c r="D977" s="841"/>
      <c r="E977" s="840">
        <f>_xlfn.CEILING.MATH((E971+35*$Z$1),0.1)</f>
        <v>174.20000000000002</v>
      </c>
      <c r="F977" s="841"/>
      <c r="G977" s="840">
        <f>_xlfn.CEILING.MATH((G971+35*$Z$1),0.1)</f>
        <v>156</v>
      </c>
      <c r="H977" s="841"/>
      <c r="I977" s="840">
        <f>_xlfn.CEILING.MATH((I971+35*$Z$1),0.1)</f>
        <v>136.5</v>
      </c>
      <c r="J977" s="841"/>
      <c r="K977" s="540"/>
      <c r="L977" s="540"/>
      <c r="M977" s="18"/>
      <c r="N977" s="226"/>
    </row>
    <row r="978" spans="1:14" ht="15.75" thickBot="1">
      <c r="A978" s="398" t="s">
        <v>920</v>
      </c>
      <c r="B978" s="457" t="s">
        <v>89</v>
      </c>
      <c r="C978" s="846">
        <f>_xlfn.CEILING.MATH((C977+30*$Z$1),0.1)</f>
        <v>162.5</v>
      </c>
      <c r="D978" s="848"/>
      <c r="E978" s="846">
        <f>_xlfn.CEILING.MATH((E977+30*$Z$1),0.1)</f>
        <v>213.20000000000002</v>
      </c>
      <c r="F978" s="848"/>
      <c r="G978" s="846">
        <f>_xlfn.CEILING.MATH((G977+30*$Z$1),0.1)</f>
        <v>195</v>
      </c>
      <c r="H978" s="848"/>
      <c r="I978" s="846">
        <f>_xlfn.CEILING.MATH((I977+30*$Z$1),0.1)</f>
        <v>175.5</v>
      </c>
      <c r="J978" s="848"/>
      <c r="K978" s="540"/>
      <c r="L978" s="540"/>
      <c r="M978" s="18"/>
      <c r="N978" s="226"/>
    </row>
    <row r="979" spans="1:14" ht="21" customHeight="1" thickBot="1" thickTop="1">
      <c r="A979" s="461"/>
      <c r="B979" s="462"/>
      <c r="C979" s="462"/>
      <c r="D979" s="462"/>
      <c r="E979" s="462"/>
      <c r="F979" s="462"/>
      <c r="G979" s="462"/>
      <c r="H979" s="462"/>
      <c r="I979" s="462"/>
      <c r="J979" s="574"/>
      <c r="K979" s="540"/>
      <c r="L979" s="540"/>
      <c r="M979" s="18"/>
      <c r="N979" s="226"/>
    </row>
    <row r="980" spans="1:14" ht="21.75" customHeight="1" thickTop="1">
      <c r="A980" s="57" t="s">
        <v>74</v>
      </c>
      <c r="B980" s="207"/>
      <c r="C980" s="889" t="s">
        <v>665</v>
      </c>
      <c r="D980" s="890"/>
      <c r="E980" s="858" t="s">
        <v>716</v>
      </c>
      <c r="F980" s="859"/>
      <c r="G980" s="860" t="s">
        <v>721</v>
      </c>
      <c r="H980" s="861"/>
      <c r="I980" s="860" t="s">
        <v>668</v>
      </c>
      <c r="J980" s="862"/>
      <c r="K980" s="541"/>
      <c r="L980" s="540"/>
      <c r="M980" s="18"/>
      <c r="N980" s="226"/>
    </row>
    <row r="981" spans="1:14" ht="15">
      <c r="A981" s="329" t="s">
        <v>188</v>
      </c>
      <c r="B981" s="384" t="s">
        <v>113</v>
      </c>
      <c r="C981" s="840">
        <f>CEILING(47*$Z$1,0.1)</f>
        <v>61.1</v>
      </c>
      <c r="D981" s="844"/>
      <c r="E981" s="840">
        <f>CEILING(88*$Z$1,0.1)</f>
        <v>114.4</v>
      </c>
      <c r="F981" s="844"/>
      <c r="G981" s="840">
        <f>CEILING(73*$Z$1,0.1)</f>
        <v>94.9</v>
      </c>
      <c r="H981" s="844"/>
      <c r="I981" s="840">
        <f>CEILING(56*$Z$1,0.1)</f>
        <v>72.8</v>
      </c>
      <c r="J981" s="844"/>
      <c r="K981" s="506"/>
      <c r="L981" s="502"/>
      <c r="M981" s="18"/>
      <c r="N981" s="226"/>
    </row>
    <row r="982" spans="1:14" ht="15">
      <c r="A982" s="262" t="s">
        <v>91</v>
      </c>
      <c r="B982" s="89" t="s">
        <v>114</v>
      </c>
      <c r="C982" s="840">
        <f>_xlfn.CEILING.MATH((C981+25*$Z$1),0.1)</f>
        <v>93.60000000000001</v>
      </c>
      <c r="D982" s="841"/>
      <c r="E982" s="840">
        <f>_xlfn.CEILING.MATH((E981+25*$Z$1),0.1)</f>
        <v>146.9</v>
      </c>
      <c r="F982" s="841"/>
      <c r="G982" s="840">
        <f>_xlfn.CEILING.MATH((G981+25*$Z$1),0.1)</f>
        <v>127.4</v>
      </c>
      <c r="H982" s="841"/>
      <c r="I982" s="840">
        <f>_xlfn.CEILING.MATH((I981+25*$Z$1),0.1)</f>
        <v>105.30000000000001</v>
      </c>
      <c r="J982" s="841"/>
      <c r="K982" s="506"/>
      <c r="L982" s="502"/>
      <c r="M982" s="18"/>
      <c r="N982" s="226"/>
    </row>
    <row r="983" spans="1:14" ht="15">
      <c r="A983" s="464"/>
      <c r="B983" s="14" t="s">
        <v>116</v>
      </c>
      <c r="C983" s="840">
        <f>CEILING((C981*0.85),0.1)</f>
        <v>52</v>
      </c>
      <c r="D983" s="841"/>
      <c r="E983" s="840">
        <f>CEILING((E981*0.85),0.1)</f>
        <v>97.30000000000001</v>
      </c>
      <c r="F983" s="841"/>
      <c r="G983" s="840">
        <f>CEILING((G981*0.85),0.1)</f>
        <v>80.7</v>
      </c>
      <c r="H983" s="841"/>
      <c r="I983" s="840">
        <f>CEILING((I981*0.85),0.1)</f>
        <v>61.900000000000006</v>
      </c>
      <c r="J983" s="841"/>
      <c r="K983" s="506"/>
      <c r="L983" s="502"/>
      <c r="M983" s="18"/>
      <c r="N983" s="226"/>
    </row>
    <row r="984" spans="1:14" ht="15">
      <c r="A984" s="385"/>
      <c r="B984" s="205" t="s">
        <v>75</v>
      </c>
      <c r="C984" s="840">
        <f>_xlfn.CEILING.MATH((C981+10*$Z$1),0.1)</f>
        <v>74.10000000000001</v>
      </c>
      <c r="D984" s="841"/>
      <c r="E984" s="840">
        <f>_xlfn.CEILING.MATH((E981+10*$Z$1),0.1)</f>
        <v>127.4</v>
      </c>
      <c r="F984" s="841"/>
      <c r="G984" s="840">
        <f>_xlfn.CEILING.MATH((G981+10*$Z$1),0.1)</f>
        <v>107.9</v>
      </c>
      <c r="H984" s="841"/>
      <c r="I984" s="840">
        <f>_xlfn.CEILING.MATH((I981+10*$Z$1),0.1)</f>
        <v>85.80000000000001</v>
      </c>
      <c r="J984" s="841"/>
      <c r="K984" s="506"/>
      <c r="L984" s="502"/>
      <c r="M984" s="18"/>
      <c r="N984" s="226"/>
    </row>
    <row r="985" spans="1:14" ht="15.75" thickBot="1">
      <c r="A985" s="398" t="s">
        <v>899</v>
      </c>
      <c r="B985" s="457" t="s">
        <v>77</v>
      </c>
      <c r="C985" s="846">
        <f>_xlfn.CEILING.MATH((C984+40*$Z$1),0.1)</f>
        <v>126.10000000000001</v>
      </c>
      <c r="D985" s="848"/>
      <c r="E985" s="846">
        <f>_xlfn.CEILING.MATH((E984+40*$Z$1),0.1)</f>
        <v>179.4</v>
      </c>
      <c r="F985" s="848"/>
      <c r="G985" s="846">
        <f>_xlfn.CEILING.MATH((G984+40*$Z$1),0.1)</f>
        <v>159.9</v>
      </c>
      <c r="H985" s="848"/>
      <c r="I985" s="846">
        <f>_xlfn.CEILING.MATH((I984+40*$Z$1),0.1)</f>
        <v>137.8</v>
      </c>
      <c r="J985" s="848"/>
      <c r="K985" s="128"/>
      <c r="L985" s="502"/>
      <c r="M985" s="18"/>
      <c r="N985" s="226"/>
    </row>
    <row r="986" spans="1:14" ht="15.75" thickTop="1">
      <c r="A986" s="1055" t="s">
        <v>539</v>
      </c>
      <c r="B986" s="1056"/>
      <c r="C986" s="1056"/>
      <c r="D986" s="1056"/>
      <c r="E986" s="1056"/>
      <c r="F986" s="1056"/>
      <c r="G986" s="1056"/>
      <c r="H986" s="1056"/>
      <c r="I986" s="1056"/>
      <c r="J986" s="1057"/>
      <c r="K986" s="128"/>
      <c r="L986" s="502"/>
      <c r="M986" s="18"/>
      <c r="N986" s="226"/>
    </row>
    <row r="987" spans="1:14" ht="18.75" customHeight="1" thickBot="1">
      <c r="A987" s="465"/>
      <c r="B987" s="466"/>
      <c r="C987" s="3"/>
      <c r="D987" s="3"/>
      <c r="E987" s="3"/>
      <c r="F987" s="3"/>
      <c r="G987" s="3"/>
      <c r="H987" s="3"/>
      <c r="I987" s="3"/>
      <c r="J987" s="3"/>
      <c r="K987" s="128"/>
      <c r="L987" s="502"/>
      <c r="M987" s="18"/>
      <c r="N987" s="226"/>
    </row>
    <row r="988" spans="1:14" ht="24.75" customHeight="1" thickTop="1">
      <c r="A988" s="93" t="s">
        <v>74</v>
      </c>
      <c r="B988" s="57"/>
      <c r="C988" s="420" t="s">
        <v>599</v>
      </c>
      <c r="D988" s="421"/>
      <c r="E988" s="422" t="s">
        <v>857</v>
      </c>
      <c r="F988" s="423"/>
      <c r="G988" s="422" t="s">
        <v>858</v>
      </c>
      <c r="H988" s="423"/>
      <c r="I988" s="422" t="s">
        <v>602</v>
      </c>
      <c r="J988" s="423"/>
      <c r="K988" s="422" t="s">
        <v>603</v>
      </c>
      <c r="L988" s="599"/>
      <c r="M988" s="23"/>
      <c r="N988" s="226"/>
    </row>
    <row r="989" spans="1:14" ht="15" customHeight="1">
      <c r="A989" s="303" t="s">
        <v>36</v>
      </c>
      <c r="B989" s="45" t="s">
        <v>82</v>
      </c>
      <c r="C989" s="840">
        <f>CEILING(62*$Z$1,0.1)</f>
        <v>80.60000000000001</v>
      </c>
      <c r="D989" s="844"/>
      <c r="E989" s="840">
        <f>CEILING(79*$Z$1,0.1)</f>
        <v>102.7</v>
      </c>
      <c r="F989" s="844"/>
      <c r="G989" s="840">
        <f>CEILING(72*$Z$1,0.1)</f>
        <v>93.60000000000001</v>
      </c>
      <c r="H989" s="844"/>
      <c r="I989" s="840">
        <f>CEILING(75*$Z$1,0.1)</f>
        <v>97.5</v>
      </c>
      <c r="J989" s="844"/>
      <c r="K989" s="840">
        <f>CEILING(53*$Z$1,0.1)</f>
        <v>68.9</v>
      </c>
      <c r="L989" s="844"/>
      <c r="M989" s="23"/>
      <c r="N989" s="226"/>
    </row>
    <row r="990" spans="1:14" ht="15.75" customHeight="1">
      <c r="A990" s="262"/>
      <c r="B990" s="14" t="s">
        <v>83</v>
      </c>
      <c r="C990" s="840">
        <f>_xlfn.CEILING.MATH((C989+20*$Z$1),0.1)</f>
        <v>106.60000000000001</v>
      </c>
      <c r="D990" s="841"/>
      <c r="E990" s="840">
        <f>_xlfn.CEILING.MATH((E989+20*$Z$1),0.1)</f>
        <v>128.70000000000002</v>
      </c>
      <c r="F990" s="841"/>
      <c r="G990" s="840">
        <f>_xlfn.CEILING.MATH((G989+20*$Z$1),0.1)</f>
        <v>119.60000000000001</v>
      </c>
      <c r="H990" s="841"/>
      <c r="I990" s="840">
        <f>_xlfn.CEILING.MATH((I989+20*$Z$1),0.1)</f>
        <v>123.5</v>
      </c>
      <c r="J990" s="841"/>
      <c r="K990" s="840">
        <f>_xlfn.CEILING.MATH((K989+20*$Z$1),0.1)</f>
        <v>94.9</v>
      </c>
      <c r="L990" s="841"/>
      <c r="M990" s="23"/>
      <c r="N990" s="226"/>
    </row>
    <row r="991" spans="1:14" ht="18" customHeight="1">
      <c r="A991" s="263"/>
      <c r="B991" s="14" t="s">
        <v>116</v>
      </c>
      <c r="C991" s="840">
        <f>CEILING((C989*0.85),0.1)</f>
        <v>68.60000000000001</v>
      </c>
      <c r="D991" s="841"/>
      <c r="E991" s="840">
        <f>CEILING((E989*0.85),0.1)</f>
        <v>87.30000000000001</v>
      </c>
      <c r="F991" s="841"/>
      <c r="G991" s="840">
        <f>CEILING((G989*0.85),0.1)</f>
        <v>79.60000000000001</v>
      </c>
      <c r="H991" s="841"/>
      <c r="I991" s="840">
        <f>CEILING((I989*0.85),0.1)</f>
        <v>82.9</v>
      </c>
      <c r="J991" s="841"/>
      <c r="K991" s="840">
        <f>CEILING((K989*0.85),0.1)</f>
        <v>58.6</v>
      </c>
      <c r="L991" s="844"/>
      <c r="M991" s="23"/>
      <c r="N991" s="226"/>
    </row>
    <row r="992" spans="1:14" ht="17.25" customHeight="1">
      <c r="A992" s="262" t="s">
        <v>91</v>
      </c>
      <c r="B992" s="349" t="s">
        <v>115</v>
      </c>
      <c r="C992" s="840">
        <f>CEILING((C989*0.5),0.1)</f>
        <v>40.300000000000004</v>
      </c>
      <c r="D992" s="844"/>
      <c r="E992" s="840">
        <f>CEILING((E989*0.5),0.1)</f>
        <v>51.400000000000006</v>
      </c>
      <c r="F992" s="844"/>
      <c r="G992" s="840">
        <f>CEILING((G989*0.5),0.1)</f>
        <v>46.800000000000004</v>
      </c>
      <c r="H992" s="844"/>
      <c r="I992" s="840">
        <f>CEILING((I989*0.5),0.1)</f>
        <v>48.800000000000004</v>
      </c>
      <c r="J992" s="844"/>
      <c r="K992" s="840">
        <f>CEILING((K989*0.5),0.1)</f>
        <v>34.5</v>
      </c>
      <c r="L992" s="844"/>
      <c r="M992" s="23"/>
      <c r="N992" s="226"/>
    </row>
    <row r="993" spans="1:14" ht="16.5" customHeight="1">
      <c r="A993" s="262"/>
      <c r="B993" s="13" t="s">
        <v>21</v>
      </c>
      <c r="C993" s="840">
        <f>_xlfn.CEILING.MATH((C989+10*$Z$1),0.1)</f>
        <v>93.60000000000001</v>
      </c>
      <c r="D993" s="844"/>
      <c r="E993" s="840">
        <f>_xlfn.CEILING.MATH((E989+10*$Z$1),0.1)</f>
        <v>115.7</v>
      </c>
      <c r="F993" s="844"/>
      <c r="G993" s="840">
        <f>_xlfn.CEILING.MATH((G989+10*$Z$1),0.1)</f>
        <v>106.60000000000001</v>
      </c>
      <c r="H993" s="844"/>
      <c r="I993" s="840">
        <f>_xlfn.CEILING.MATH((I989+10*$Z$1),0.1)</f>
        <v>110.5</v>
      </c>
      <c r="J993" s="844"/>
      <c r="K993" s="840">
        <f>_xlfn.CEILING.MATH((K989+10*$Z$1),0.1)</f>
        <v>81.9</v>
      </c>
      <c r="L993" s="844"/>
      <c r="M993" s="23"/>
      <c r="N993" s="226"/>
    </row>
    <row r="994" spans="1:14" ht="15.75" customHeight="1">
      <c r="A994" s="317"/>
      <c r="B994" s="13" t="s">
        <v>22</v>
      </c>
      <c r="C994" s="840">
        <f>_xlfn.CEILING.MATH((C993+20*$Z$1),0.1)</f>
        <v>119.60000000000001</v>
      </c>
      <c r="D994" s="844"/>
      <c r="E994" s="840">
        <f>_xlfn.CEILING.MATH((E993+20*$Z$1),0.1)</f>
        <v>141.70000000000002</v>
      </c>
      <c r="F994" s="844"/>
      <c r="G994" s="840">
        <f>_xlfn.CEILING.MATH((G993+20*$Z$1),0.1)</f>
        <v>132.6</v>
      </c>
      <c r="H994" s="844"/>
      <c r="I994" s="840">
        <f>_xlfn.CEILING.MATH((I993+20*$Z$1),0.1)</f>
        <v>136.5</v>
      </c>
      <c r="J994" s="844"/>
      <c r="K994" s="840">
        <f>_xlfn.CEILING.MATH((K993+20*$Z$1),0.1)</f>
        <v>107.9</v>
      </c>
      <c r="L994" s="844"/>
      <c r="M994" s="23"/>
      <c r="N994" s="226"/>
    </row>
    <row r="995" spans="1:14" ht="15" customHeight="1">
      <c r="A995" s="317"/>
      <c r="B995" s="13" t="s">
        <v>196</v>
      </c>
      <c r="C995" s="840">
        <f>_xlfn.CEILING.MATH((C989+20*$Z$1),0.1)</f>
        <v>106.60000000000001</v>
      </c>
      <c r="D995" s="844"/>
      <c r="E995" s="840">
        <f>_xlfn.CEILING.MATH((E989+20*$Z$1),0.1)</f>
        <v>128.70000000000002</v>
      </c>
      <c r="F995" s="844"/>
      <c r="G995" s="840">
        <f>_xlfn.CEILING.MATH((G989+20*$Z$1),0.1)</f>
        <v>119.60000000000001</v>
      </c>
      <c r="H995" s="844"/>
      <c r="I995" s="840">
        <f>_xlfn.CEILING.MATH((I989+20*$Z$1),0.1)</f>
        <v>123.5</v>
      </c>
      <c r="J995" s="844"/>
      <c r="K995" s="840">
        <f>_xlfn.CEILING.MATH((K989+20*$Z$1),0.1)</f>
        <v>94.9</v>
      </c>
      <c r="L995" s="844"/>
      <c r="M995" s="23"/>
      <c r="N995" s="226"/>
    </row>
    <row r="996" spans="1:14" ht="17.25" customHeight="1" thickBot="1">
      <c r="A996" s="328" t="s">
        <v>919</v>
      </c>
      <c r="B996" s="49" t="s">
        <v>358</v>
      </c>
      <c r="C996" s="846">
        <f>_xlfn.CEILING.MATH((C995+20*$Z$1),0.1)</f>
        <v>132.6</v>
      </c>
      <c r="D996" s="847"/>
      <c r="E996" s="846">
        <f>_xlfn.CEILING.MATH((E995+20*$Z$1),0.1)</f>
        <v>154.70000000000002</v>
      </c>
      <c r="F996" s="847"/>
      <c r="G996" s="846">
        <f>_xlfn.CEILING.MATH((G995+20*$Z$1),0.1)</f>
        <v>145.6</v>
      </c>
      <c r="H996" s="847"/>
      <c r="I996" s="846">
        <f>_xlfn.CEILING.MATH((I995+20*$Z$1),0.1)</f>
        <v>149.5</v>
      </c>
      <c r="J996" s="847"/>
      <c r="K996" s="846">
        <f>_xlfn.CEILING.MATH((K995+20*$Z$1),0.1)</f>
        <v>120.9</v>
      </c>
      <c r="L996" s="847"/>
      <c r="M996" s="23"/>
      <c r="N996" s="226"/>
    </row>
    <row r="997" spans="1:14" ht="16.5" customHeight="1" thickTop="1">
      <c r="A997" s="683" t="s">
        <v>867</v>
      </c>
      <c r="B997" s="684"/>
      <c r="C997" s="679"/>
      <c r="D997" s="679"/>
      <c r="E997" s="679"/>
      <c r="F997" s="679"/>
      <c r="G997" s="679"/>
      <c r="H997" s="679"/>
      <c r="I997" s="3"/>
      <c r="J997" s="3"/>
      <c r="K997" s="128"/>
      <c r="L997" s="502"/>
      <c r="M997" s="18"/>
      <c r="N997" s="226"/>
    </row>
    <row r="998" spans="1:14" ht="18.75" customHeight="1" thickBot="1">
      <c r="A998" s="685"/>
      <c r="B998" s="686"/>
      <c r="C998" s="680"/>
      <c r="D998" s="680"/>
      <c r="E998" s="680"/>
      <c r="F998" s="680"/>
      <c r="G998" s="680"/>
      <c r="H998" s="680"/>
      <c r="I998" s="3"/>
      <c r="J998" s="3"/>
      <c r="K998" s="128"/>
      <c r="L998" s="128"/>
      <c r="M998" s="18"/>
      <c r="N998" s="226"/>
    </row>
    <row r="999" spans="1:14" ht="21.75" customHeight="1" thickTop="1">
      <c r="A999" s="93" t="s">
        <v>74</v>
      </c>
      <c r="B999" s="57"/>
      <c r="C999" s="889" t="s">
        <v>437</v>
      </c>
      <c r="D999" s="890"/>
      <c r="E999" s="858" t="s">
        <v>869</v>
      </c>
      <c r="F999" s="859"/>
      <c r="G999" s="858" t="s">
        <v>430</v>
      </c>
      <c r="H999" s="928"/>
      <c r="I999" s="856"/>
      <c r="J999" s="857"/>
      <c r="K999" s="857"/>
      <c r="L999" s="857"/>
      <c r="M999" s="22"/>
      <c r="N999" s="226"/>
    </row>
    <row r="1000" spans="1:14" ht="16.5" customHeight="1">
      <c r="A1000" s="303" t="s">
        <v>558</v>
      </c>
      <c r="B1000" s="45" t="s">
        <v>75</v>
      </c>
      <c r="C1000" s="840">
        <f>CEILING(51*$Z$1,0.1)</f>
        <v>66.3</v>
      </c>
      <c r="D1000" s="844"/>
      <c r="E1000" s="840">
        <f>CEILING(66*$Z$1,0.1)</f>
        <v>85.80000000000001</v>
      </c>
      <c r="F1000" s="844"/>
      <c r="G1000" s="840">
        <f>CEILING(51*$Z$1,0.1)</f>
        <v>66.3</v>
      </c>
      <c r="H1000" s="844"/>
      <c r="I1000" s="842"/>
      <c r="J1000" s="845"/>
      <c r="K1000" s="845"/>
      <c r="L1000" s="845"/>
      <c r="M1000" s="18"/>
      <c r="N1000" s="226"/>
    </row>
    <row r="1001" spans="1:14" ht="18.75" customHeight="1">
      <c r="A1001" s="262"/>
      <c r="B1001" s="14" t="s">
        <v>77</v>
      </c>
      <c r="C1001" s="840">
        <f>CEILING(63.75*$Z$1,0.1)</f>
        <v>82.9</v>
      </c>
      <c r="D1001" s="841"/>
      <c r="E1001" s="840">
        <f>CEILING(82.5*$Z$1,0.1)</f>
        <v>107.30000000000001</v>
      </c>
      <c r="F1001" s="841"/>
      <c r="G1001" s="840">
        <f>CEILING(63.75*$Z$1,0.1)</f>
        <v>82.9</v>
      </c>
      <c r="H1001" s="841"/>
      <c r="I1001" s="842"/>
      <c r="J1001" s="845"/>
      <c r="K1001" s="845"/>
      <c r="L1001" s="845"/>
      <c r="M1001" s="18"/>
      <c r="N1001" s="226"/>
    </row>
    <row r="1002" spans="1:14" ht="18.75" customHeight="1">
      <c r="A1002" s="262" t="s">
        <v>91</v>
      </c>
      <c r="B1002" s="14" t="s">
        <v>116</v>
      </c>
      <c r="C1002" s="840">
        <f>CEILING((C1000*0.85),0.1)</f>
        <v>56.400000000000006</v>
      </c>
      <c r="D1002" s="841"/>
      <c r="E1002" s="840">
        <f>CEILING((E1000*0.85),0.1)</f>
        <v>73</v>
      </c>
      <c r="F1002" s="841"/>
      <c r="G1002" s="840">
        <f>CEILING((G1000*0.85),0.1)</f>
        <v>56.400000000000006</v>
      </c>
      <c r="H1002" s="844"/>
      <c r="I1002" s="842"/>
      <c r="J1002" s="845"/>
      <c r="K1002" s="845"/>
      <c r="L1002" s="845"/>
      <c r="M1002" s="18"/>
      <c r="N1002" s="226"/>
    </row>
    <row r="1003" spans="1:14" ht="18.75" customHeight="1">
      <c r="A1003" s="262"/>
      <c r="B1003" s="205" t="s">
        <v>232</v>
      </c>
      <c r="C1003" s="905">
        <v>0</v>
      </c>
      <c r="D1003" s="906"/>
      <c r="E1003" s="840">
        <f>CEILING((E1000*0.5),0.1)</f>
        <v>42.900000000000006</v>
      </c>
      <c r="F1003" s="844"/>
      <c r="G1003" s="840">
        <f>CEILING((G1000*0.5),0.1)</f>
        <v>33.2</v>
      </c>
      <c r="H1003" s="841"/>
      <c r="I1003" s="842"/>
      <c r="J1003" s="845"/>
      <c r="K1003" s="845"/>
      <c r="L1003" s="845"/>
      <c r="M1003" s="18"/>
      <c r="N1003" s="226"/>
    </row>
    <row r="1004" spans="1:14" ht="18.75" customHeight="1" thickBot="1">
      <c r="A1004" s="398" t="s">
        <v>918</v>
      </c>
      <c r="B1004" s="49" t="s">
        <v>196</v>
      </c>
      <c r="C1004" s="840">
        <f>_xlfn.CEILING.MATH((C1000+30*$Z$1),0.1)</f>
        <v>105.30000000000001</v>
      </c>
      <c r="D1004" s="844"/>
      <c r="E1004" s="846">
        <f>_xlfn.CEILING.MATH((E1000+30*$Z$1),0.1)</f>
        <v>124.80000000000001</v>
      </c>
      <c r="F1004" s="847"/>
      <c r="G1004" s="846">
        <f>_xlfn.CEILING.MATH((G1000+30*$Z$1),0.1)</f>
        <v>105.30000000000001</v>
      </c>
      <c r="H1004" s="848"/>
      <c r="I1004" s="842"/>
      <c r="J1004" s="845"/>
      <c r="K1004" s="845"/>
      <c r="L1004" s="845"/>
      <c r="M1004" s="18"/>
      <c r="N1004" s="226"/>
    </row>
    <row r="1005" spans="1:14" ht="18.75" customHeight="1" thickTop="1">
      <c r="A1005" s="682" t="s">
        <v>870</v>
      </c>
      <c r="B1005" s="687"/>
      <c r="C1005" s="687"/>
      <c r="D1005" s="687"/>
      <c r="E1005" s="681"/>
      <c r="F1005" s="681"/>
      <c r="G1005" s="681"/>
      <c r="H1005" s="681"/>
      <c r="I1005" s="681"/>
      <c r="J1005" s="681"/>
      <c r="K1005" s="845"/>
      <c r="L1005" s="845"/>
      <c r="M1005" s="18"/>
      <c r="N1005" s="226"/>
    </row>
    <row r="1006" spans="1:14" ht="21.75" customHeight="1" thickBot="1">
      <c r="A1006" s="494"/>
      <c r="B1006" s="224"/>
      <c r="C1006" s="2"/>
      <c r="D1006" s="2"/>
      <c r="E1006" s="2"/>
      <c r="F1006" s="2"/>
      <c r="G1006" s="2"/>
      <c r="H1006" s="2"/>
      <c r="I1006" s="2"/>
      <c r="J1006" s="2"/>
      <c r="K1006" s="476"/>
      <c r="L1006" s="476"/>
      <c r="M1006" s="18"/>
      <c r="N1006" s="226"/>
    </row>
    <row r="1007" spans="1:14" ht="21" customHeight="1" thickTop="1">
      <c r="A1007" s="93" t="s">
        <v>74</v>
      </c>
      <c r="B1007" s="207"/>
      <c r="C1007" s="889" t="s">
        <v>665</v>
      </c>
      <c r="D1007" s="890"/>
      <c r="E1007" s="858" t="s">
        <v>716</v>
      </c>
      <c r="F1007" s="859"/>
      <c r="G1007" s="860" t="s">
        <v>710</v>
      </c>
      <c r="H1007" s="861"/>
      <c r="I1007" s="860" t="s">
        <v>676</v>
      </c>
      <c r="J1007" s="862"/>
      <c r="K1007" s="860" t="s">
        <v>430</v>
      </c>
      <c r="L1007" s="862"/>
      <c r="M1007" s="23"/>
      <c r="N1007" s="226"/>
    </row>
    <row r="1008" spans="1:14" ht="15.75" customHeight="1">
      <c r="A1008" s="459" t="s">
        <v>29</v>
      </c>
      <c r="B1008" s="460" t="s">
        <v>30</v>
      </c>
      <c r="C1008" s="840">
        <f>CEILING(80*$Z$1,0.1)</f>
        <v>104</v>
      </c>
      <c r="D1008" s="844"/>
      <c r="E1008" s="840">
        <f>CEILING(138*$Z$1,0.1)</f>
        <v>179.4</v>
      </c>
      <c r="F1008" s="844"/>
      <c r="G1008" s="840">
        <f>CEILING(103*$Z$1,0.1)</f>
        <v>133.9</v>
      </c>
      <c r="H1008" s="844"/>
      <c r="I1008" s="840">
        <f>CEILING(119*$Z$1,0.1)</f>
        <v>154.70000000000002</v>
      </c>
      <c r="J1008" s="844"/>
      <c r="K1008" s="840">
        <f>CEILING(93*$Z$1,0.1)</f>
        <v>120.9</v>
      </c>
      <c r="L1008" s="844"/>
      <c r="M1008" s="23"/>
      <c r="N1008" s="226"/>
    </row>
    <row r="1009" spans="1:14" ht="17.25" customHeight="1">
      <c r="A1009" s="202" t="s">
        <v>76</v>
      </c>
      <c r="B1009" s="460" t="s">
        <v>548</v>
      </c>
      <c r="C1009" s="840">
        <f>_xlfn.CEILING.MATH((C1008+30*$Z$1),0.1)</f>
        <v>143</v>
      </c>
      <c r="D1009" s="841"/>
      <c r="E1009" s="840">
        <f>_xlfn.CEILING.MATH((E1008+30*$Z$1),0.1)</f>
        <v>218.4</v>
      </c>
      <c r="F1009" s="841"/>
      <c r="G1009" s="840">
        <f>_xlfn.CEILING.MATH((G1008+30*$Z$1),0.1)</f>
        <v>172.9</v>
      </c>
      <c r="H1009" s="841"/>
      <c r="I1009" s="840">
        <f>_xlfn.CEILING.MATH((I1008+30*$Z$1),0.1)</f>
        <v>193.70000000000002</v>
      </c>
      <c r="J1009" s="841"/>
      <c r="K1009" s="840">
        <f>_xlfn.CEILING.MATH((K1008+30*$Z$1),0.1)</f>
        <v>159.9</v>
      </c>
      <c r="L1009" s="841"/>
      <c r="M1009" s="23"/>
      <c r="N1009" s="226"/>
    </row>
    <row r="1010" spans="1:14" ht="18.75" customHeight="1">
      <c r="A1010" s="203"/>
      <c r="B1010" s="479" t="s">
        <v>78</v>
      </c>
      <c r="C1010" s="840">
        <f>CEILING(68*$Z$1,0.1)</f>
        <v>88.4</v>
      </c>
      <c r="D1010" s="841"/>
      <c r="E1010" s="840">
        <f>CEILING(117*$Z$1,0.1)</f>
        <v>152.1</v>
      </c>
      <c r="F1010" s="841"/>
      <c r="G1010" s="840">
        <f>CEILING(88*$Z$1,0.1)</f>
        <v>114.4</v>
      </c>
      <c r="H1010" s="841"/>
      <c r="I1010" s="840">
        <f>CEILING(101*$Z$1,0.1)</f>
        <v>131.3</v>
      </c>
      <c r="J1010" s="841"/>
      <c r="K1010" s="840">
        <f>CEILING(79*$Z$1,0.1)</f>
        <v>102.7</v>
      </c>
      <c r="L1010" s="841"/>
      <c r="M1010" s="23"/>
      <c r="N1010" s="226"/>
    </row>
    <row r="1011" spans="1:14" ht="15" customHeight="1">
      <c r="A1011" s="449"/>
      <c r="B1011" s="14" t="s">
        <v>318</v>
      </c>
      <c r="C1011" s="905">
        <v>0</v>
      </c>
      <c r="D1011" s="906"/>
      <c r="E1011" s="905">
        <v>0</v>
      </c>
      <c r="F1011" s="906"/>
      <c r="G1011" s="905">
        <v>0</v>
      </c>
      <c r="H1011" s="906"/>
      <c r="I1011" s="905">
        <v>0</v>
      </c>
      <c r="J1011" s="906"/>
      <c r="K1011" s="905">
        <v>0</v>
      </c>
      <c r="L1011" s="906"/>
      <c r="M1011" s="23"/>
      <c r="N1011" s="226"/>
    </row>
    <row r="1012" spans="1:14" ht="15.75" customHeight="1" thickBot="1">
      <c r="A1012" s="398" t="s">
        <v>917</v>
      </c>
      <c r="B1012" s="264" t="s">
        <v>319</v>
      </c>
      <c r="C1012" s="846">
        <f>CEILING((C1008*0.5),0.1)</f>
        <v>52</v>
      </c>
      <c r="D1012" s="848"/>
      <c r="E1012" s="846">
        <f>CEILING((E1008*0.5),0.1)</f>
        <v>89.7</v>
      </c>
      <c r="F1012" s="848"/>
      <c r="G1012" s="846">
        <f>CEILING((G1008*0.5),0.1)</f>
        <v>67</v>
      </c>
      <c r="H1012" s="848"/>
      <c r="I1012" s="846">
        <f>CEILING((I1008*0.5),0.1)</f>
        <v>77.4</v>
      </c>
      <c r="J1012" s="848"/>
      <c r="K1012" s="846">
        <f>CEILING((K1008*0.5),0.1)</f>
        <v>60.5</v>
      </c>
      <c r="L1012" s="848"/>
      <c r="M1012" s="18"/>
      <c r="N1012" s="226"/>
    </row>
    <row r="1013" spans="1:14" ht="16.5" customHeight="1" thickTop="1">
      <c r="A1013" s="99" t="s">
        <v>854</v>
      </c>
      <c r="B1013" s="805"/>
      <c r="C1013" s="708"/>
      <c r="D1013" s="708"/>
      <c r="E1013" s="711"/>
      <c r="F1013" s="711"/>
      <c r="G1013" s="708"/>
      <c r="H1013" s="708"/>
      <c r="I1013" s="26"/>
      <c r="J1013" s="26"/>
      <c r="K1013" s="26"/>
      <c r="L1013" s="26"/>
      <c r="M1013" s="18"/>
      <c r="N1013" s="226"/>
    </row>
    <row r="1014" spans="1:25" s="724" customFormat="1" ht="21.75" customHeight="1" thickBot="1">
      <c r="A1014" s="95"/>
      <c r="B1014" s="806"/>
      <c r="C1014" s="708"/>
      <c r="D1014" s="708"/>
      <c r="E1014" s="711"/>
      <c r="F1014" s="711"/>
      <c r="G1014" s="708"/>
      <c r="H1014" s="708"/>
      <c r="I1014" s="26"/>
      <c r="J1014" s="26"/>
      <c r="K1014" s="26"/>
      <c r="L1014" s="26"/>
      <c r="M1014" s="18"/>
      <c r="N1014" s="226"/>
      <c r="O1014" s="244"/>
      <c r="P1014" s="244"/>
      <c r="Q1014" s="244"/>
      <c r="R1014" s="244"/>
      <c r="S1014" s="244"/>
      <c r="T1014" s="244"/>
      <c r="U1014" s="244"/>
      <c r="V1014" s="244"/>
      <c r="W1014" s="244"/>
      <c r="X1014" s="244"/>
      <c r="Y1014" s="244"/>
    </row>
    <row r="1015" spans="1:14" ht="21" customHeight="1" thickTop="1">
      <c r="A1015" s="93" t="s">
        <v>74</v>
      </c>
      <c r="B1015" s="57"/>
      <c r="C1015" s="870" t="s">
        <v>665</v>
      </c>
      <c r="D1015" s="871"/>
      <c r="E1015" s="852" t="s">
        <v>669</v>
      </c>
      <c r="F1015" s="853"/>
      <c r="G1015" s="854" t="s">
        <v>668</v>
      </c>
      <c r="H1015" s="855"/>
      <c r="I1015" s="954"/>
      <c r="J1015" s="931"/>
      <c r="K1015" s="26"/>
      <c r="L1015" s="26"/>
      <c r="M1015" s="18"/>
      <c r="N1015" s="226"/>
    </row>
    <row r="1016" spans="1:14" ht="17.25" customHeight="1">
      <c r="A1016" s="303" t="s">
        <v>582</v>
      </c>
      <c r="B1016" s="45" t="s">
        <v>82</v>
      </c>
      <c r="C1016" s="837">
        <f>CEILING(45*$Z$1,0.1)</f>
        <v>58.5</v>
      </c>
      <c r="D1016" s="838"/>
      <c r="E1016" s="837">
        <f>CEILING(72*$Z$1,0.1)</f>
        <v>93.60000000000001</v>
      </c>
      <c r="F1016" s="838"/>
      <c r="G1016" s="837">
        <f>CEILING(45*$Z$1,0.1)</f>
        <v>58.5</v>
      </c>
      <c r="H1016" s="838"/>
      <c r="I1016" s="842"/>
      <c r="J1016" s="845"/>
      <c r="K1016" s="26"/>
      <c r="L1016" s="26"/>
      <c r="M1016" s="18"/>
      <c r="N1016" s="226"/>
    </row>
    <row r="1017" spans="1:14" ht="16.5" customHeight="1">
      <c r="A1017" s="262" t="s">
        <v>91</v>
      </c>
      <c r="B1017" s="14" t="s">
        <v>83</v>
      </c>
      <c r="C1017" s="840">
        <f>CEILING(60*$Z$1,0.1)</f>
        <v>78</v>
      </c>
      <c r="D1017" s="844"/>
      <c r="E1017" s="840">
        <f>CEILING(87*$Z$1,0.1)</f>
        <v>113.10000000000001</v>
      </c>
      <c r="F1017" s="844"/>
      <c r="G1017" s="840">
        <f>CEILING(60*$Z$1,0.1)</f>
        <v>78</v>
      </c>
      <c r="H1017" s="844"/>
      <c r="I1017" s="842"/>
      <c r="J1017" s="845"/>
      <c r="K1017" s="26"/>
      <c r="L1017" s="26"/>
      <c r="M1017" s="18"/>
      <c r="N1017" s="226"/>
    </row>
    <row r="1018" spans="1:14" ht="15.75" customHeight="1">
      <c r="A1018" s="263"/>
      <c r="B1018" s="14" t="s">
        <v>116</v>
      </c>
      <c r="C1018" s="840">
        <f>CEILING(38*$Z$1,0.1)</f>
        <v>49.400000000000006</v>
      </c>
      <c r="D1018" s="844"/>
      <c r="E1018" s="840">
        <f>CEILING(61*$Z$1,0.1)</f>
        <v>79.30000000000001</v>
      </c>
      <c r="F1018" s="844"/>
      <c r="G1018" s="840">
        <f>CEILING(38*$Z$1,0.1)</f>
        <v>49.400000000000006</v>
      </c>
      <c r="H1018" s="844"/>
      <c r="I1018" s="842"/>
      <c r="J1018" s="845"/>
      <c r="K1018" s="26"/>
      <c r="L1018" s="26"/>
      <c r="M1018" s="18"/>
      <c r="N1018" s="226"/>
    </row>
    <row r="1019" spans="1:14" ht="14.25" customHeight="1" thickBot="1">
      <c r="A1019" s="328" t="s">
        <v>916</v>
      </c>
      <c r="B1019" s="457" t="s">
        <v>115</v>
      </c>
      <c r="C1019" s="883">
        <v>0</v>
      </c>
      <c r="D1019" s="884"/>
      <c r="E1019" s="883">
        <v>0</v>
      </c>
      <c r="F1019" s="884"/>
      <c r="G1019" s="883">
        <v>0</v>
      </c>
      <c r="H1019" s="884"/>
      <c r="I1019" s="842"/>
      <c r="J1019" s="845"/>
      <c r="K1019" s="26"/>
      <c r="L1019" s="26"/>
      <c r="M1019" s="18"/>
      <c r="N1019" s="226"/>
    </row>
    <row r="1020" spans="1:14" ht="18.75" customHeight="1" thickTop="1">
      <c r="A1020" s="683" t="s">
        <v>748</v>
      </c>
      <c r="B1020" s="684"/>
      <c r="C1020" s="707"/>
      <c r="D1020" s="707"/>
      <c r="E1020" s="707"/>
      <c r="F1020" s="707"/>
      <c r="G1020" s="707"/>
      <c r="H1020" s="707"/>
      <c r="I1020" s="26"/>
      <c r="J1020" s="26"/>
      <c r="K1020" s="26"/>
      <c r="L1020" s="26"/>
      <c r="M1020" s="18"/>
      <c r="N1020" s="226"/>
    </row>
    <row r="1021" spans="1:14" ht="15.75" customHeight="1">
      <c r="A1021" s="609"/>
      <c r="B1021" s="684"/>
      <c r="C1021" s="713"/>
      <c r="D1021" s="713"/>
      <c r="E1021" s="713"/>
      <c r="F1021" s="713"/>
      <c r="G1021" s="713"/>
      <c r="H1021" s="713"/>
      <c r="I1021" s="26"/>
      <c r="J1021" s="26"/>
      <c r="K1021" s="26"/>
      <c r="L1021" s="26"/>
      <c r="M1021" s="18"/>
      <c r="N1021" s="226"/>
    </row>
    <row r="1022" spans="1:14" ht="18.75" customHeight="1">
      <c r="A1022" s="867" t="s">
        <v>699</v>
      </c>
      <c r="B1022" s="867"/>
      <c r="C1022" s="867"/>
      <c r="D1022" s="867"/>
      <c r="E1022" s="867"/>
      <c r="F1022" s="867"/>
      <c r="G1022" s="867"/>
      <c r="H1022" s="867"/>
      <c r="I1022" s="26"/>
      <c r="J1022" s="26"/>
      <c r="K1022" s="26"/>
      <c r="L1022" s="26"/>
      <c r="M1022" s="18"/>
      <c r="N1022" s="226"/>
    </row>
    <row r="1023" spans="1:25" s="724" customFormat="1" ht="18.75" customHeight="1">
      <c r="A1023" s="929" t="s">
        <v>702</v>
      </c>
      <c r="B1023" s="929"/>
      <c r="C1023" s="929"/>
      <c r="D1023" s="929"/>
      <c r="E1023" s="929"/>
      <c r="F1023" s="929"/>
      <c r="G1023" s="929"/>
      <c r="H1023" s="929"/>
      <c r="I1023" s="929"/>
      <c r="J1023" s="929"/>
      <c r="K1023" s="26"/>
      <c r="L1023" s="26"/>
      <c r="M1023" s="18"/>
      <c r="N1023" s="226"/>
      <c r="O1023" s="244"/>
      <c r="P1023" s="244"/>
      <c r="Q1023" s="244"/>
      <c r="R1023" s="244"/>
      <c r="S1023" s="244"/>
      <c r="T1023" s="244"/>
      <c r="U1023" s="244"/>
      <c r="V1023" s="244"/>
      <c r="W1023" s="244"/>
      <c r="X1023" s="244"/>
      <c r="Y1023" s="244"/>
    </row>
    <row r="1024" spans="1:14" ht="18.75" customHeight="1">
      <c r="A1024" s="965" t="s">
        <v>969</v>
      </c>
      <c r="B1024" s="965"/>
      <c r="C1024" s="965"/>
      <c r="D1024" s="965"/>
      <c r="E1024" s="965"/>
      <c r="F1024" s="965"/>
      <c r="G1024" s="965"/>
      <c r="H1024" s="965"/>
      <c r="I1024" s="26"/>
      <c r="J1024" s="26"/>
      <c r="K1024" s="26"/>
      <c r="L1024" s="26"/>
      <c r="M1024" s="18"/>
      <c r="N1024" s="226"/>
    </row>
    <row r="1025" spans="1:14" ht="18.75" customHeight="1">
      <c r="A1025" s="965" t="s">
        <v>972</v>
      </c>
      <c r="B1025" s="965"/>
      <c r="C1025" s="965"/>
      <c r="D1025" s="965"/>
      <c r="E1025" s="965"/>
      <c r="F1025" s="965"/>
      <c r="G1025" s="965"/>
      <c r="H1025" s="965"/>
      <c r="I1025" s="26"/>
      <c r="J1025" s="26"/>
      <c r="K1025" s="26"/>
      <c r="L1025" s="26"/>
      <c r="M1025" s="18"/>
      <c r="N1025" s="226"/>
    </row>
    <row r="1026" spans="1:14" ht="15.75" customHeight="1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128"/>
      <c r="L1026" s="502"/>
      <c r="M1026" s="18"/>
      <c r="N1026" s="226"/>
    </row>
    <row r="1027" spans="1:14" ht="16.5" customHeight="1">
      <c r="A1027" s="1014" t="s">
        <v>189</v>
      </c>
      <c r="B1027" s="1014"/>
      <c r="C1027" s="1014"/>
      <c r="D1027" s="1014"/>
      <c r="E1027" s="1014"/>
      <c r="F1027" s="1014"/>
      <c r="G1027" s="1014"/>
      <c r="H1027" s="1014"/>
      <c r="I1027" s="1014"/>
      <c r="J1027" s="1014"/>
      <c r="K1027" s="502"/>
      <c r="L1027" s="502"/>
      <c r="M1027" s="18"/>
      <c r="N1027" s="226"/>
    </row>
    <row r="1028" spans="1:14" ht="16.5" customHeight="1" thickBot="1">
      <c r="A1028" s="147"/>
      <c r="B1028" s="147"/>
      <c r="C1028" s="147"/>
      <c r="D1028" s="147"/>
      <c r="E1028" s="147"/>
      <c r="F1028" s="147"/>
      <c r="G1028" s="147"/>
      <c r="H1028" s="147"/>
      <c r="I1028" s="19"/>
      <c r="J1028" s="19"/>
      <c r="K1028" s="517"/>
      <c r="L1028" s="517"/>
      <c r="M1028" s="18"/>
      <c r="N1028" s="226"/>
    </row>
    <row r="1029" spans="1:14" ht="24.75" customHeight="1" thickTop="1">
      <c r="A1029" s="93" t="s">
        <v>74</v>
      </c>
      <c r="B1029" s="57"/>
      <c r="C1029" s="420" t="s">
        <v>599</v>
      </c>
      <c r="D1029" s="421"/>
      <c r="E1029" s="422" t="s">
        <v>600</v>
      </c>
      <c r="F1029" s="423"/>
      <c r="G1029" s="422" t="s">
        <v>601</v>
      </c>
      <c r="H1029" s="423"/>
      <c r="I1029" s="422" t="s">
        <v>602</v>
      </c>
      <c r="J1029" s="423"/>
      <c r="K1029" s="422" t="s">
        <v>603</v>
      </c>
      <c r="L1029" s="599"/>
      <c r="M1029" s="23"/>
      <c r="N1029" s="226"/>
    </row>
    <row r="1030" spans="1:14" ht="15.75" customHeight="1">
      <c r="A1030" s="303" t="s">
        <v>190</v>
      </c>
      <c r="B1030" s="45" t="s">
        <v>431</v>
      </c>
      <c r="C1030" s="840">
        <f>CEILING(66*$Z$1,0.1)</f>
        <v>85.80000000000001</v>
      </c>
      <c r="D1030" s="844"/>
      <c r="E1030" s="840">
        <f>CEILING(105*$Z$1,0.1)</f>
        <v>136.5</v>
      </c>
      <c r="F1030" s="844"/>
      <c r="G1030" s="840">
        <f>CEILING(80*$Z$1,0.1)</f>
        <v>104</v>
      </c>
      <c r="H1030" s="844"/>
      <c r="I1030" s="840">
        <f>CEILING(95*$Z$1,0.1)</f>
        <v>123.5</v>
      </c>
      <c r="J1030" s="844"/>
      <c r="K1030" s="840">
        <f>CEILING(75*$Z$1,0.1)</f>
        <v>97.5</v>
      </c>
      <c r="L1030" s="844"/>
      <c r="M1030" s="23"/>
      <c r="N1030" s="226"/>
    </row>
    <row r="1031" spans="1:14" ht="14.25" customHeight="1">
      <c r="A1031" s="262" t="s">
        <v>76</v>
      </c>
      <c r="B1031" s="14" t="s">
        <v>432</v>
      </c>
      <c r="C1031" s="840">
        <f>_xlfn.CEILING.MATH((C1030+30*$Z$1),0.1)</f>
        <v>124.80000000000001</v>
      </c>
      <c r="D1031" s="841"/>
      <c r="E1031" s="840">
        <f>_xlfn.CEILING.MATH((E1030+30*$Z$1),0.1)</f>
        <v>175.5</v>
      </c>
      <c r="F1031" s="841"/>
      <c r="G1031" s="840">
        <f>_xlfn.CEILING.MATH((G1030+30*$Z$1),0.1)</f>
        <v>143</v>
      </c>
      <c r="H1031" s="841"/>
      <c r="I1031" s="840">
        <f>_xlfn.CEILING.MATH((I1030+30*$Z$1),0.1)</f>
        <v>162.5</v>
      </c>
      <c r="J1031" s="841"/>
      <c r="K1031" s="840">
        <f>_xlfn.CEILING.MATH((K1030+30*$Z$1),0.1)</f>
        <v>136.5</v>
      </c>
      <c r="L1031" s="841"/>
      <c r="M1031" s="23"/>
      <c r="N1031" s="226"/>
    </row>
    <row r="1032" spans="1:14" ht="15.75" customHeight="1">
      <c r="A1032" s="263"/>
      <c r="B1032" s="14" t="s">
        <v>116</v>
      </c>
      <c r="C1032" s="840">
        <f>CEILING((C1030*0.85),0.1)</f>
        <v>73</v>
      </c>
      <c r="D1032" s="841"/>
      <c r="E1032" s="840">
        <f>CEILING((E1030*0.85),0.1)</f>
        <v>116.10000000000001</v>
      </c>
      <c r="F1032" s="841"/>
      <c r="G1032" s="840">
        <f>CEILING((G1030*0.85),0.1)</f>
        <v>88.4</v>
      </c>
      <c r="H1032" s="841"/>
      <c r="I1032" s="840">
        <f>CEILING((I1030*0.85),0.1)</f>
        <v>105</v>
      </c>
      <c r="J1032" s="841"/>
      <c r="K1032" s="840">
        <f>CEILING((K1030*0.85),0.1)</f>
        <v>82.9</v>
      </c>
      <c r="L1032" s="844"/>
      <c r="M1032" s="23"/>
      <c r="N1032" s="226"/>
    </row>
    <row r="1033" spans="1:14" ht="17.25" customHeight="1" thickBot="1">
      <c r="A1033" s="391" t="s">
        <v>909</v>
      </c>
      <c r="B1033" s="457" t="s">
        <v>115</v>
      </c>
      <c r="C1033" s="846">
        <f>CEILING((C1030*0.5),0.1)</f>
        <v>42.900000000000006</v>
      </c>
      <c r="D1033" s="848"/>
      <c r="E1033" s="846">
        <f>CEILING((E1030*0.5),0.1)</f>
        <v>68.3</v>
      </c>
      <c r="F1033" s="848"/>
      <c r="G1033" s="846">
        <f>CEILING((G1030*0.5),0.1)</f>
        <v>52</v>
      </c>
      <c r="H1033" s="848"/>
      <c r="I1033" s="846">
        <f>CEILING((I1030*0.5),0.1)</f>
        <v>61.800000000000004</v>
      </c>
      <c r="J1033" s="848"/>
      <c r="K1033" s="846">
        <f>CEILING((K1030*0.5),0.1)</f>
        <v>48.800000000000004</v>
      </c>
      <c r="L1033" s="848"/>
      <c r="M1033" s="654"/>
      <c r="N1033" s="76"/>
    </row>
    <row r="1034" spans="1:25" s="724" customFormat="1" ht="15.75" thickTop="1">
      <c r="A1034" s="248" t="s">
        <v>650</v>
      </c>
      <c r="B1034" s="367"/>
      <c r="C1034" s="729"/>
      <c r="D1034" s="729"/>
      <c r="E1034" s="729"/>
      <c r="F1034" s="729"/>
      <c r="G1034" s="729"/>
      <c r="H1034" s="729"/>
      <c r="I1034" s="729"/>
      <c r="J1034" s="729"/>
      <c r="K1034" s="590"/>
      <c r="L1034" s="590"/>
      <c r="M1034" s="76"/>
      <c r="N1034" s="76"/>
      <c r="O1034" s="244"/>
      <c r="P1034" s="244"/>
      <c r="Q1034" s="244"/>
      <c r="R1034" s="244"/>
      <c r="S1034" s="244"/>
      <c r="T1034" s="244"/>
      <c r="U1034" s="244"/>
      <c r="V1034" s="244"/>
      <c r="W1034" s="244"/>
      <c r="X1034" s="244"/>
      <c r="Y1034" s="244"/>
    </row>
    <row r="1035" spans="1:14" ht="19.5" customHeight="1" thickBot="1">
      <c r="A1035" s="225"/>
      <c r="B1035" s="84"/>
      <c r="C1035" s="131"/>
      <c r="D1035" s="131"/>
      <c r="E1035" s="131"/>
      <c r="F1035" s="131"/>
      <c r="G1035" s="131"/>
      <c r="H1035" s="131"/>
      <c r="I1035" s="63"/>
      <c r="J1035" s="63"/>
      <c r="K1035" s="241"/>
      <c r="L1035" s="241"/>
      <c r="M1035" s="18"/>
      <c r="N1035" s="226"/>
    </row>
    <row r="1036" spans="1:14" ht="25.5" customHeight="1" thickTop="1">
      <c r="A1036" s="93" t="s">
        <v>74</v>
      </c>
      <c r="B1036" s="57"/>
      <c r="C1036" s="420" t="s">
        <v>599</v>
      </c>
      <c r="D1036" s="421"/>
      <c r="E1036" s="422" t="s">
        <v>600</v>
      </c>
      <c r="F1036" s="423"/>
      <c r="G1036" s="422" t="s">
        <v>601</v>
      </c>
      <c r="H1036" s="423"/>
      <c r="I1036" s="422" t="s">
        <v>602</v>
      </c>
      <c r="J1036" s="423"/>
      <c r="K1036" s="422" t="s">
        <v>603</v>
      </c>
      <c r="L1036" s="599"/>
      <c r="M1036" s="23"/>
      <c r="N1036" s="226"/>
    </row>
    <row r="1037" spans="1:14" ht="15" customHeight="1">
      <c r="A1037" s="39" t="s">
        <v>191</v>
      </c>
      <c r="B1037" s="45" t="s">
        <v>82</v>
      </c>
      <c r="C1037" s="840">
        <f>CEILING(55*$Z$1,0.1)</f>
        <v>71.5</v>
      </c>
      <c r="D1037" s="844"/>
      <c r="E1037" s="840">
        <f>CEILING(80*$Z$1,0.1)</f>
        <v>104</v>
      </c>
      <c r="F1037" s="844"/>
      <c r="G1037" s="840">
        <f>CEILING(67*$Z$1,0.1)</f>
        <v>87.10000000000001</v>
      </c>
      <c r="H1037" s="844"/>
      <c r="I1037" s="840">
        <f>CEILING(75*$Z$1,0.1)</f>
        <v>97.5</v>
      </c>
      <c r="J1037" s="844"/>
      <c r="K1037" s="840">
        <f>CEILING(60*$Z$1,0.1)</f>
        <v>78</v>
      </c>
      <c r="L1037" s="844"/>
      <c r="M1037" s="23"/>
      <c r="N1037" s="226"/>
    </row>
    <row r="1038" spans="1:14" ht="15.75" customHeight="1">
      <c r="A1038" s="39"/>
      <c r="B1038" s="14" t="s">
        <v>83</v>
      </c>
      <c r="C1038" s="840">
        <f>_xlfn.CEILING.MATH((C1037+25*$Z$1),0.1)</f>
        <v>104</v>
      </c>
      <c r="D1038" s="841"/>
      <c r="E1038" s="840">
        <f>_xlfn.CEILING.MATH((E1037+25*$Z$1),0.1)</f>
        <v>136.5</v>
      </c>
      <c r="F1038" s="841"/>
      <c r="G1038" s="840">
        <f>_xlfn.CEILING.MATH((G1037+25*$Z$1),0.1)</f>
        <v>119.60000000000001</v>
      </c>
      <c r="H1038" s="841"/>
      <c r="I1038" s="840">
        <f>_xlfn.CEILING.MATH((I1037+25*$Z$1),0.1)</f>
        <v>130</v>
      </c>
      <c r="J1038" s="841"/>
      <c r="K1038" s="840">
        <f>_xlfn.CEILING.MATH((K1037+25*$Z$1),0.1)</f>
        <v>110.5</v>
      </c>
      <c r="L1038" s="844"/>
      <c r="M1038" s="23"/>
      <c r="N1038" s="226"/>
    </row>
    <row r="1039" spans="1:14" ht="16.5" customHeight="1">
      <c r="A1039" s="40" t="s">
        <v>91</v>
      </c>
      <c r="B1039" s="14" t="s">
        <v>116</v>
      </c>
      <c r="C1039" s="840">
        <f>CEILING((C1037*0.85),0.1)</f>
        <v>60.800000000000004</v>
      </c>
      <c r="D1039" s="841"/>
      <c r="E1039" s="840">
        <f>CEILING((E1037*0.85),0.1)</f>
        <v>88.4</v>
      </c>
      <c r="F1039" s="841"/>
      <c r="G1039" s="840">
        <f>CEILING((G1037*0.85),0.1)</f>
        <v>74.10000000000001</v>
      </c>
      <c r="H1039" s="841"/>
      <c r="I1039" s="840">
        <f>CEILING((I1037*0.85),0.1)</f>
        <v>82.9</v>
      </c>
      <c r="J1039" s="841"/>
      <c r="K1039" s="840">
        <f>CEILING((K1037*0.85),0.1)</f>
        <v>66.3</v>
      </c>
      <c r="L1039" s="844"/>
      <c r="M1039" s="23"/>
      <c r="N1039" s="226"/>
    </row>
    <row r="1040" spans="1:14" ht="15" customHeight="1">
      <c r="A1040" s="111"/>
      <c r="B1040" s="205" t="s">
        <v>115</v>
      </c>
      <c r="C1040" s="842">
        <v>0</v>
      </c>
      <c r="D1040" s="843"/>
      <c r="E1040" s="842">
        <v>0</v>
      </c>
      <c r="F1040" s="843"/>
      <c r="G1040" s="842">
        <v>0</v>
      </c>
      <c r="H1040" s="843"/>
      <c r="I1040" s="842">
        <v>0</v>
      </c>
      <c r="J1040" s="843"/>
      <c r="K1040" s="842">
        <v>0</v>
      </c>
      <c r="L1040" s="845"/>
      <c r="M1040" s="23"/>
      <c r="N1040" s="226"/>
    </row>
    <row r="1041" spans="1:14" ht="15" customHeight="1">
      <c r="A1041" s="50"/>
      <c r="B1041" s="12" t="s">
        <v>84</v>
      </c>
      <c r="C1041" s="840">
        <f>_xlfn.CEILING.MATH((C1037+12*$Z$1),0.1)</f>
        <v>87.10000000000001</v>
      </c>
      <c r="D1041" s="841"/>
      <c r="E1041" s="840">
        <f>_xlfn.CEILING.MATH((E1037+12*$Z$1),0.1)</f>
        <v>119.60000000000001</v>
      </c>
      <c r="F1041" s="841"/>
      <c r="G1041" s="840">
        <f>_xlfn.CEILING.MATH((G1037+12*$Z$1),0.1)</f>
        <v>102.7</v>
      </c>
      <c r="H1041" s="841"/>
      <c r="I1041" s="840">
        <f>_xlfn.CEILING.MATH((I1037+12*$Z$1),0.1)</f>
        <v>113.10000000000001</v>
      </c>
      <c r="J1041" s="841"/>
      <c r="K1041" s="840">
        <f>_xlfn.CEILING.MATH((K1037+12*$Z$1),0.1)</f>
        <v>93.60000000000001</v>
      </c>
      <c r="L1041" s="841"/>
      <c r="M1041" s="23"/>
      <c r="N1041" s="226"/>
    </row>
    <row r="1042" spans="1:14" ht="17.25" customHeight="1">
      <c r="A1042" s="50"/>
      <c r="B1042" s="12" t="s">
        <v>85</v>
      </c>
      <c r="C1042" s="840">
        <f>_xlfn.CEILING.MATH((C1041+25*$Z$1),0.1)</f>
        <v>119.60000000000001</v>
      </c>
      <c r="D1042" s="841"/>
      <c r="E1042" s="840">
        <f>_xlfn.CEILING.MATH((E1041+25*$Z$1),0.1)</f>
        <v>152.1</v>
      </c>
      <c r="F1042" s="841"/>
      <c r="G1042" s="840">
        <f>_xlfn.CEILING.MATH((G1041+25*$Z$1),0.1)</f>
        <v>135.20000000000002</v>
      </c>
      <c r="H1042" s="841"/>
      <c r="I1042" s="840">
        <f>_xlfn.CEILING.MATH((I1041+25*$Z$1),0.1)</f>
        <v>145.6</v>
      </c>
      <c r="J1042" s="841"/>
      <c r="K1042" s="840">
        <f>_xlfn.CEILING.MATH((K1041+25*$Z$1),0.1)</f>
        <v>126.10000000000001</v>
      </c>
      <c r="L1042" s="841"/>
      <c r="M1042" s="18"/>
      <c r="N1042" s="226"/>
    </row>
    <row r="1043" spans="1:14" ht="13.5" customHeight="1">
      <c r="A1043" s="50"/>
      <c r="B1043" s="12" t="s">
        <v>119</v>
      </c>
      <c r="C1043" s="840">
        <f>_xlfn.CEILING.MATH((C1037+15*$Z$1),0.1)</f>
        <v>91</v>
      </c>
      <c r="D1043" s="841"/>
      <c r="E1043" s="840">
        <f>_xlfn.CEILING.MATH((E1037+15*$Z$1),0.1)</f>
        <v>123.5</v>
      </c>
      <c r="F1043" s="841"/>
      <c r="G1043" s="840">
        <f>_xlfn.CEILING.MATH((G1037+15*$Z$1),0.1)</f>
        <v>106.60000000000001</v>
      </c>
      <c r="H1043" s="841"/>
      <c r="I1043" s="840">
        <f>_xlfn.CEILING.MATH((I1037+15*$Z$1),0.1)</f>
        <v>117</v>
      </c>
      <c r="J1043" s="841"/>
      <c r="K1043" s="840">
        <f>_xlfn.CEILING.MATH((K1037+15*$Z$1),0.1)</f>
        <v>97.5</v>
      </c>
      <c r="L1043" s="841"/>
      <c r="M1043" s="18"/>
      <c r="N1043" s="226"/>
    </row>
    <row r="1044" spans="1:14" ht="15" customHeight="1" thickBot="1">
      <c r="A1044" s="391" t="s">
        <v>907</v>
      </c>
      <c r="B1044" s="49" t="s">
        <v>120</v>
      </c>
      <c r="C1044" s="846">
        <f>_xlfn.CEILING.MATH((C1043+25*$Z$1),0.1)</f>
        <v>123.5</v>
      </c>
      <c r="D1044" s="848"/>
      <c r="E1044" s="846">
        <f>_xlfn.CEILING.MATH((E1043+25*$Z$1),0.1)</f>
        <v>156</v>
      </c>
      <c r="F1044" s="848"/>
      <c r="G1044" s="846">
        <f>_xlfn.CEILING.MATH((G1043+25*$Z$1),0.1)</f>
        <v>139.1</v>
      </c>
      <c r="H1044" s="848"/>
      <c r="I1044" s="846">
        <f>_xlfn.CEILING.MATH((I1043+25*$Z$1),0.1)</f>
        <v>149.5</v>
      </c>
      <c r="J1044" s="848"/>
      <c r="K1044" s="846">
        <f>_xlfn.CEILING.MATH((K1043+25*$Z$1),0.1)</f>
        <v>130</v>
      </c>
      <c r="L1044" s="848"/>
      <c r="M1044" s="18"/>
      <c r="N1044" s="226"/>
    </row>
    <row r="1045" spans="1:14" ht="17.25" customHeight="1" thickTop="1">
      <c r="A1045" s="1006" t="s">
        <v>333</v>
      </c>
      <c r="B1045" s="1006"/>
      <c r="C1045" s="1006"/>
      <c r="D1045" s="1006"/>
      <c r="E1045" s="1006"/>
      <c r="F1045" s="1006"/>
      <c r="G1045" s="1006"/>
      <c r="H1045" s="1006"/>
      <c r="I1045" s="149"/>
      <c r="J1045" s="149"/>
      <c r="K1045" s="502"/>
      <c r="L1045" s="502"/>
      <c r="M1045" s="18"/>
      <c r="N1045" s="226"/>
    </row>
    <row r="1046" spans="1:25" s="724" customFormat="1" ht="17.25" customHeight="1">
      <c r="A1046" s="248" t="s">
        <v>650</v>
      </c>
      <c r="B1046" s="760"/>
      <c r="C1046" s="760"/>
      <c r="D1046" s="760"/>
      <c r="E1046" s="760"/>
      <c r="F1046" s="760"/>
      <c r="G1046" s="760"/>
      <c r="H1046" s="760"/>
      <c r="I1046" s="149"/>
      <c r="J1046" s="149"/>
      <c r="K1046" s="502"/>
      <c r="L1046" s="502"/>
      <c r="M1046" s="18"/>
      <c r="N1046" s="226"/>
      <c r="O1046" s="244"/>
      <c r="P1046" s="244"/>
      <c r="Q1046" s="244"/>
      <c r="R1046" s="244"/>
      <c r="S1046" s="244"/>
      <c r="T1046" s="244"/>
      <c r="U1046" s="244"/>
      <c r="V1046" s="244"/>
      <c r="W1046" s="244"/>
      <c r="X1046" s="244"/>
      <c r="Y1046" s="244"/>
    </row>
    <row r="1047" spans="1:14" ht="18.75" customHeight="1" thickBot="1">
      <c r="A1047" s="131"/>
      <c r="B1047" s="131"/>
      <c r="C1047" s="131"/>
      <c r="D1047" s="131"/>
      <c r="E1047" s="131"/>
      <c r="F1047" s="131"/>
      <c r="G1047" s="131"/>
      <c r="H1047" s="131"/>
      <c r="I1047" s="678"/>
      <c r="J1047" s="678"/>
      <c r="K1047" s="476"/>
      <c r="L1047" s="476"/>
      <c r="M1047" s="18"/>
      <c r="N1047" s="226"/>
    </row>
    <row r="1048" spans="1:14" ht="23.25" customHeight="1" thickTop="1">
      <c r="A1048" s="93" t="s">
        <v>74</v>
      </c>
      <c r="B1048" s="301"/>
      <c r="C1048" s="852" t="s">
        <v>665</v>
      </c>
      <c r="D1048" s="853"/>
      <c r="E1048" s="852" t="s">
        <v>716</v>
      </c>
      <c r="F1048" s="853"/>
      <c r="G1048" s="852" t="s">
        <v>710</v>
      </c>
      <c r="H1048" s="853"/>
      <c r="I1048" s="870" t="s">
        <v>676</v>
      </c>
      <c r="J1048" s="871"/>
      <c r="K1048" s="870" t="s">
        <v>668</v>
      </c>
      <c r="L1048" s="912"/>
      <c r="M1048" s="23"/>
      <c r="N1048" s="226"/>
    </row>
    <row r="1049" spans="1:14" ht="15" customHeight="1">
      <c r="A1049" s="200" t="s">
        <v>20</v>
      </c>
      <c r="B1049" s="325" t="s">
        <v>82</v>
      </c>
      <c r="C1049" s="840">
        <f>CEILING(94*$Z$1,0.1)</f>
        <v>122.2</v>
      </c>
      <c r="D1049" s="844"/>
      <c r="E1049" s="840">
        <f>CEILING(138*$Z$1,0.1)</f>
        <v>179.4</v>
      </c>
      <c r="F1049" s="844"/>
      <c r="G1049" s="840">
        <f>CEILING(110*$Z$1,0.1)</f>
        <v>143</v>
      </c>
      <c r="H1049" s="844"/>
      <c r="I1049" s="840">
        <f>CEILING(116*$Z$1,0.1)</f>
        <v>150.8</v>
      </c>
      <c r="J1049" s="844"/>
      <c r="K1049" s="840">
        <f>CEILING(94*$Z$1,0.1)</f>
        <v>122.2</v>
      </c>
      <c r="L1049" s="844"/>
      <c r="M1049" s="23"/>
      <c r="N1049" s="226"/>
    </row>
    <row r="1050" spans="1:14" ht="15" customHeight="1">
      <c r="A1050" s="202" t="s">
        <v>76</v>
      </c>
      <c r="B1050" s="201" t="s">
        <v>83</v>
      </c>
      <c r="C1050" s="840">
        <f>_xlfn.CEILING.MATH((C1049+35*$Z$1),0.1)</f>
        <v>167.70000000000002</v>
      </c>
      <c r="D1050" s="841"/>
      <c r="E1050" s="840">
        <f>_xlfn.CEILING.MATH((E1049+35*$Z$1),0.1)</f>
        <v>224.9</v>
      </c>
      <c r="F1050" s="841"/>
      <c r="G1050" s="840">
        <f>_xlfn.CEILING.MATH((G1049+35*$Z$1),0.1)</f>
        <v>188.5</v>
      </c>
      <c r="H1050" s="841"/>
      <c r="I1050" s="840">
        <f>_xlfn.CEILING.MATH((I1049+35*$Z$1),0.1)</f>
        <v>196.3</v>
      </c>
      <c r="J1050" s="841"/>
      <c r="K1050" s="840">
        <f>_xlfn.CEILING.MATH((K1049+35*$Z$1),0.1)</f>
        <v>167.70000000000002</v>
      </c>
      <c r="L1050" s="841"/>
      <c r="M1050" s="23"/>
      <c r="N1050" s="226"/>
    </row>
    <row r="1051" spans="1:14" ht="17.25" customHeight="1">
      <c r="A1051" s="203"/>
      <c r="B1051" s="204" t="s">
        <v>78</v>
      </c>
      <c r="C1051" s="840">
        <f>CEILING((C1049*0.85),0.1)</f>
        <v>103.9</v>
      </c>
      <c r="D1051" s="841"/>
      <c r="E1051" s="840">
        <f>CEILING((E1049*0.85),0.1)</f>
        <v>152.5</v>
      </c>
      <c r="F1051" s="841"/>
      <c r="G1051" s="840">
        <f>CEILING((G1049*0.85),0.1)</f>
        <v>121.60000000000001</v>
      </c>
      <c r="H1051" s="841"/>
      <c r="I1051" s="840">
        <f>CEILING((I1049*0.85),0.1)</f>
        <v>128.20000000000002</v>
      </c>
      <c r="J1051" s="841"/>
      <c r="K1051" s="840">
        <f>CEILING((K1049*0.85),0.1)</f>
        <v>103.9</v>
      </c>
      <c r="L1051" s="841"/>
      <c r="M1051" s="23"/>
      <c r="N1051" s="226"/>
    </row>
    <row r="1052" spans="1:14" ht="15" customHeight="1">
      <c r="A1052" s="449"/>
      <c r="B1052" s="14" t="s">
        <v>107</v>
      </c>
      <c r="C1052" s="842">
        <v>0</v>
      </c>
      <c r="D1052" s="843"/>
      <c r="E1052" s="840">
        <f>CEILING((E1049*0.5),0.1)</f>
        <v>89.7</v>
      </c>
      <c r="F1052" s="841"/>
      <c r="G1052" s="840">
        <f>CEILING((G1049*0.5),0.1)</f>
        <v>71.5</v>
      </c>
      <c r="H1052" s="841"/>
      <c r="I1052" s="840">
        <f>CEILING((I1049*0.5),0.1)</f>
        <v>75.4</v>
      </c>
      <c r="J1052" s="841"/>
      <c r="K1052" s="842">
        <v>0</v>
      </c>
      <c r="L1052" s="845"/>
      <c r="M1052" s="23"/>
      <c r="N1052" s="226"/>
    </row>
    <row r="1053" spans="1:14" ht="16.5" customHeight="1">
      <c r="A1053" s="203"/>
      <c r="B1053" s="206" t="s">
        <v>21</v>
      </c>
      <c r="C1053" s="840">
        <f>_xlfn.CEILING.MATH((C1049+10*$Z$1),0.1)</f>
        <v>135.20000000000002</v>
      </c>
      <c r="D1053" s="841"/>
      <c r="E1053" s="840">
        <f>_xlfn.CEILING.MATH((E1049+10*$Z$1),0.1)</f>
        <v>192.4</v>
      </c>
      <c r="F1053" s="841"/>
      <c r="G1053" s="840">
        <f>_xlfn.CEILING.MATH((G1049+10*$Z$1),0.1)</f>
        <v>156</v>
      </c>
      <c r="H1053" s="841"/>
      <c r="I1053" s="840">
        <f>_xlfn.CEILING.MATH((I1049+10*$Z$1),0.1)</f>
        <v>163.8</v>
      </c>
      <c r="J1053" s="841"/>
      <c r="K1053" s="840">
        <f>_xlfn.CEILING.MATH((K1049+10*$Z$1),0.1)</f>
        <v>135.20000000000002</v>
      </c>
      <c r="L1053" s="841"/>
      <c r="M1053" s="23"/>
      <c r="N1053" s="226"/>
    </row>
    <row r="1054" spans="1:14" ht="16.5" customHeight="1">
      <c r="A1054" s="243" t="s">
        <v>70</v>
      </c>
      <c r="B1054" s="206" t="s">
        <v>22</v>
      </c>
      <c r="C1054" s="840">
        <f>_xlfn.CEILING.MATH((C1053+35*$Z$1),0.1)</f>
        <v>180.70000000000002</v>
      </c>
      <c r="D1054" s="841"/>
      <c r="E1054" s="840">
        <f>_xlfn.CEILING.MATH((E1053+35*$Z$1),0.1)</f>
        <v>237.9</v>
      </c>
      <c r="F1054" s="841"/>
      <c r="G1054" s="840">
        <f>_xlfn.CEILING.MATH((G1053+35*$Z$1),0.1)</f>
        <v>201.5</v>
      </c>
      <c r="H1054" s="841"/>
      <c r="I1054" s="840">
        <f>_xlfn.CEILING.MATH((I1053+35*$Z$1),0.1)</f>
        <v>209.3</v>
      </c>
      <c r="J1054" s="841"/>
      <c r="K1054" s="840">
        <f>_xlfn.CEILING.MATH((K1053+35*$Z$1),0.1)</f>
        <v>180.70000000000002</v>
      </c>
      <c r="L1054" s="841"/>
      <c r="M1054" s="23"/>
      <c r="N1054" s="226"/>
    </row>
    <row r="1055" spans="1:14" ht="16.5" customHeight="1">
      <c r="A1055" s="203"/>
      <c r="B1055" s="205" t="s">
        <v>75</v>
      </c>
      <c r="C1055" s="840">
        <f>_xlfn.CEILING.MATH((C1049+15*$Z$1),0.1)</f>
        <v>141.70000000000002</v>
      </c>
      <c r="D1055" s="841"/>
      <c r="E1055" s="840">
        <f>_xlfn.CEILING.MATH((E1049+15*$Z$1),0.1)</f>
        <v>198.9</v>
      </c>
      <c r="F1055" s="841"/>
      <c r="G1055" s="840">
        <f>_xlfn.CEILING.MATH((G1049+15*$Z$1),0.1)</f>
        <v>162.5</v>
      </c>
      <c r="H1055" s="841"/>
      <c r="I1055" s="840">
        <f>_xlfn.CEILING.MATH((I1049+15*$Z$1),0.1)</f>
        <v>170.3</v>
      </c>
      <c r="J1055" s="841"/>
      <c r="K1055" s="840">
        <f>_xlfn.CEILING.MATH((K1049+15*$Z$1),0.1)</f>
        <v>141.70000000000002</v>
      </c>
      <c r="L1055" s="841"/>
      <c r="M1055" s="23"/>
      <c r="N1055" s="226"/>
    </row>
    <row r="1056" spans="1:14" ht="15.75" customHeight="1">
      <c r="A1056" s="203"/>
      <c r="B1056" s="205" t="s">
        <v>77</v>
      </c>
      <c r="C1056" s="840">
        <f>_xlfn.CEILING.MATH((C1055+35*$Z$1),0.1)</f>
        <v>187.20000000000002</v>
      </c>
      <c r="D1056" s="841"/>
      <c r="E1056" s="840">
        <f>_xlfn.CEILING.MATH((E1055+35*$Z$1),0.1)</f>
        <v>244.4</v>
      </c>
      <c r="F1056" s="841"/>
      <c r="G1056" s="840">
        <f>_xlfn.CEILING.MATH((G1055+35*$Z$1),0.1)</f>
        <v>208</v>
      </c>
      <c r="H1056" s="841"/>
      <c r="I1056" s="840">
        <f>_xlfn.CEILING.MATH((I1055+35*$Z$1),0.1)</f>
        <v>215.8</v>
      </c>
      <c r="J1056" s="841"/>
      <c r="K1056" s="840">
        <f>_xlfn.CEILING.MATH((K1055+35*$Z$1),0.1)</f>
        <v>187.20000000000002</v>
      </c>
      <c r="L1056" s="841"/>
      <c r="M1056" s="23"/>
      <c r="N1056" s="226"/>
    </row>
    <row r="1057" spans="1:14" ht="16.5" customHeight="1">
      <c r="A1057" s="203"/>
      <c r="B1057" s="206" t="s">
        <v>94</v>
      </c>
      <c r="C1057" s="840">
        <f>_xlfn.CEILING.MATH((C1049+35*$Z$1),0.1)</f>
        <v>167.70000000000002</v>
      </c>
      <c r="D1057" s="841"/>
      <c r="E1057" s="840">
        <f>_xlfn.CEILING.MATH((E1049+35*$Z$1),0.1)</f>
        <v>224.9</v>
      </c>
      <c r="F1057" s="841"/>
      <c r="G1057" s="840">
        <f>_xlfn.CEILING.MATH((G1049+35*$Z$1),0.1)</f>
        <v>188.5</v>
      </c>
      <c r="H1057" s="841"/>
      <c r="I1057" s="840">
        <f>_xlfn.CEILING.MATH((I1049+35*$Z$1),0.1)</f>
        <v>196.3</v>
      </c>
      <c r="J1057" s="841"/>
      <c r="K1057" s="840">
        <f>_xlfn.CEILING.MATH((K1049+35*$Z$1),0.1)</f>
        <v>167.70000000000002</v>
      </c>
      <c r="L1057" s="841"/>
      <c r="M1057" s="23"/>
      <c r="N1057" s="226"/>
    </row>
    <row r="1058" spans="1:14" ht="15.75" customHeight="1">
      <c r="A1058" s="433"/>
      <c r="B1058" s="206" t="s">
        <v>95</v>
      </c>
      <c r="C1058" s="840">
        <f>_xlfn.CEILING.MATH((C1057+35*$Z$1),0.1)</f>
        <v>213.20000000000002</v>
      </c>
      <c r="D1058" s="841"/>
      <c r="E1058" s="840">
        <f>_xlfn.CEILING.MATH((E1057+35*$Z$1),0.1)</f>
        <v>270.40000000000003</v>
      </c>
      <c r="F1058" s="841"/>
      <c r="G1058" s="840">
        <f>_xlfn.CEILING.MATH((G1057+35*$Z$1),0.1)</f>
        <v>234</v>
      </c>
      <c r="H1058" s="841"/>
      <c r="I1058" s="840">
        <f>_xlfn.CEILING.MATH((I1057+35*$Z$1),0.1)</f>
        <v>241.8</v>
      </c>
      <c r="J1058" s="841"/>
      <c r="K1058" s="840">
        <f>_xlfn.CEILING.MATH((K1057+35*$Z$1),0.1)</f>
        <v>213.20000000000002</v>
      </c>
      <c r="L1058" s="841"/>
      <c r="M1058" s="23"/>
      <c r="N1058" s="226"/>
    </row>
    <row r="1059" spans="1:14" ht="15">
      <c r="A1059" s="433"/>
      <c r="B1059" s="206" t="s">
        <v>23</v>
      </c>
      <c r="C1059" s="840">
        <f>_xlfn.CEILING.MATH((C1049+45*$Z$1),0.1)</f>
        <v>180.70000000000002</v>
      </c>
      <c r="D1059" s="841"/>
      <c r="E1059" s="840">
        <f>_xlfn.CEILING.MATH((E1049+45*$Z$1),0.1)</f>
        <v>237.9</v>
      </c>
      <c r="F1059" s="841"/>
      <c r="G1059" s="840">
        <f>_xlfn.CEILING.MATH((G1049+45*$Z$1),0.1)</f>
        <v>201.5</v>
      </c>
      <c r="H1059" s="841"/>
      <c r="I1059" s="840">
        <f>_xlfn.CEILING.MATH((I1049+45*$Z$1),0.1)</f>
        <v>209.3</v>
      </c>
      <c r="J1059" s="841"/>
      <c r="K1059" s="840">
        <f>_xlfn.CEILING.MATH((K1049+45*$Z$1),0.1)</f>
        <v>180.70000000000002</v>
      </c>
      <c r="L1059" s="841"/>
      <c r="M1059" s="18"/>
      <c r="N1059" s="226"/>
    </row>
    <row r="1060" spans="1:17" ht="15">
      <c r="A1060" s="385"/>
      <c r="B1060" s="206" t="s">
        <v>810</v>
      </c>
      <c r="C1060" s="835">
        <f>_xlfn.CEILING.MATH((C1059+35*$Z$1),0.1)</f>
        <v>226.20000000000002</v>
      </c>
      <c r="D1060" s="836"/>
      <c r="E1060" s="835">
        <f>_xlfn.CEILING.MATH((E1059+35*$Z$1),0.1)</f>
        <v>283.40000000000003</v>
      </c>
      <c r="F1060" s="836"/>
      <c r="G1060" s="835">
        <f>_xlfn.CEILING.MATH((G1059+35*$Z$1),0.1)</f>
        <v>247</v>
      </c>
      <c r="H1060" s="836"/>
      <c r="I1060" s="835">
        <f>_xlfn.CEILING.MATH((I1059+35*$Z$1),0.1)</f>
        <v>254.8</v>
      </c>
      <c r="J1060" s="836"/>
      <c r="K1060" s="835">
        <f>_xlfn.CEILING.MATH((K1059+35*$Z$1),0.1)</f>
        <v>226.20000000000002</v>
      </c>
      <c r="L1060" s="836"/>
      <c r="M1060" s="18"/>
      <c r="N1060" s="226"/>
      <c r="P1060" s="931"/>
      <c r="Q1060" s="931"/>
    </row>
    <row r="1061" spans="1:17" ht="15">
      <c r="A1061" s="454"/>
      <c r="B1061" s="452" t="s">
        <v>24</v>
      </c>
      <c r="C1061" s="840">
        <f>_xlfn.CEILING.MATH((C1049+10*$Z$1),0.1)</f>
        <v>135.20000000000002</v>
      </c>
      <c r="D1061" s="841"/>
      <c r="E1061" s="840">
        <f>_xlfn.CEILING.MATH((E1049+10*$Z$1),0.1)</f>
        <v>192.4</v>
      </c>
      <c r="F1061" s="841"/>
      <c r="G1061" s="840">
        <f>_xlfn.CEILING.MATH((G1049+10*$Z$1),0.1)</f>
        <v>156</v>
      </c>
      <c r="H1061" s="841"/>
      <c r="I1061" s="840">
        <f>_xlfn.CEILING.MATH((I1049+10*$Z$1),0.1)</f>
        <v>163.8</v>
      </c>
      <c r="J1061" s="841"/>
      <c r="K1061" s="840">
        <f>_xlfn.CEILING.MATH((K1049+10*$Z$1),0.1)</f>
        <v>135.20000000000002</v>
      </c>
      <c r="L1061" s="841"/>
      <c r="M1061" s="18"/>
      <c r="N1061" s="226"/>
      <c r="P1061" s="845"/>
      <c r="Q1061" s="845"/>
    </row>
    <row r="1062" spans="1:17" ht="15">
      <c r="A1062" s="453"/>
      <c r="B1062" s="205" t="s">
        <v>19</v>
      </c>
      <c r="C1062" s="840">
        <f>CEILING((C1061*0.5),0.1)</f>
        <v>67.60000000000001</v>
      </c>
      <c r="D1062" s="841"/>
      <c r="E1062" s="840">
        <f>CEILING((E1061*0.5),0.1)</f>
        <v>96.2</v>
      </c>
      <c r="F1062" s="841"/>
      <c r="G1062" s="840">
        <f>CEILING((G1061*0.5),0.1)</f>
        <v>78</v>
      </c>
      <c r="H1062" s="841"/>
      <c r="I1062" s="840">
        <f>CEILING((I1061*0.5),0.1)</f>
        <v>81.9</v>
      </c>
      <c r="J1062" s="841"/>
      <c r="K1062" s="840">
        <f>CEILING((K1061*0.5),0.1)</f>
        <v>67.60000000000001</v>
      </c>
      <c r="L1062" s="841"/>
      <c r="M1062" s="18"/>
      <c r="N1062" s="226"/>
      <c r="P1062" s="845"/>
      <c r="Q1062" s="845"/>
    </row>
    <row r="1063" spans="1:256" ht="15" customHeight="1">
      <c r="A1063" s="453"/>
      <c r="B1063" s="453" t="s">
        <v>25</v>
      </c>
      <c r="C1063" s="840">
        <f>CEILING((C1061*0.7),0.1)</f>
        <v>94.7</v>
      </c>
      <c r="D1063" s="841"/>
      <c r="E1063" s="840">
        <f>CEILING((E1061*0.7),0.1)</f>
        <v>134.70000000000002</v>
      </c>
      <c r="F1063" s="841"/>
      <c r="G1063" s="840">
        <f>CEILING((G1061*0.7),0.1)</f>
        <v>109.2</v>
      </c>
      <c r="H1063" s="841"/>
      <c r="I1063" s="840">
        <f>CEILING((I1061*0.7),0.1)</f>
        <v>114.7</v>
      </c>
      <c r="J1063" s="841"/>
      <c r="K1063" s="840">
        <f>CEILING((K1061*0.7),0.1)</f>
        <v>94.7</v>
      </c>
      <c r="L1063" s="841"/>
      <c r="M1063" s="18"/>
      <c r="N1063" s="226"/>
      <c r="P1063" s="248"/>
      <c r="Q1063" s="248"/>
      <c r="R1063" s="248"/>
      <c r="S1063" s="248"/>
      <c r="T1063" s="248"/>
      <c r="U1063" s="248"/>
      <c r="V1063" s="248"/>
      <c r="W1063" s="248"/>
      <c r="X1063" s="248"/>
      <c r="Y1063" s="248"/>
      <c r="Z1063" s="248"/>
      <c r="AA1063" s="248"/>
      <c r="AB1063" s="248"/>
      <c r="AC1063" s="248"/>
      <c r="AD1063" s="248"/>
      <c r="AE1063" s="248"/>
      <c r="AF1063" s="248"/>
      <c r="AG1063" s="248"/>
      <c r="AH1063" s="248"/>
      <c r="AI1063" s="248"/>
      <c r="AJ1063" s="248"/>
      <c r="AK1063" s="248"/>
      <c r="AL1063" s="248"/>
      <c r="AM1063" s="248"/>
      <c r="AN1063" s="248"/>
      <c r="AO1063" s="248"/>
      <c r="AP1063" s="248"/>
      <c r="AQ1063" s="248"/>
      <c r="AR1063" s="248"/>
      <c r="AS1063" s="248"/>
      <c r="AT1063" s="248"/>
      <c r="AU1063" s="248"/>
      <c r="AV1063" s="248"/>
      <c r="AW1063" s="248"/>
      <c r="AX1063" s="248"/>
      <c r="AY1063" s="248"/>
      <c r="AZ1063" s="248"/>
      <c r="BA1063" s="248"/>
      <c r="BB1063" s="248"/>
      <c r="BC1063" s="248"/>
      <c r="BD1063" s="248"/>
      <c r="BE1063" s="248"/>
      <c r="BF1063" s="248"/>
      <c r="BG1063" s="248"/>
      <c r="BH1063" s="248"/>
      <c r="BI1063" s="248"/>
      <c r="BJ1063" s="248"/>
      <c r="BK1063" s="248"/>
      <c r="BL1063" s="248"/>
      <c r="BM1063" s="248"/>
      <c r="BN1063" s="248"/>
      <c r="BO1063" s="248"/>
      <c r="BP1063" s="248"/>
      <c r="BQ1063" s="248"/>
      <c r="BR1063" s="248"/>
      <c r="BS1063" s="248"/>
      <c r="BT1063" s="248"/>
      <c r="BU1063" s="248"/>
      <c r="BV1063" s="248"/>
      <c r="BW1063" s="248"/>
      <c r="BX1063" s="248"/>
      <c r="BY1063" s="248"/>
      <c r="BZ1063" s="248"/>
      <c r="CA1063" s="248"/>
      <c r="CB1063" s="248"/>
      <c r="CC1063" s="248"/>
      <c r="CD1063" s="248"/>
      <c r="CE1063" s="248"/>
      <c r="CF1063" s="248"/>
      <c r="CG1063" s="248"/>
      <c r="CH1063" s="248"/>
      <c r="CI1063" s="248"/>
      <c r="CJ1063" s="248"/>
      <c r="CK1063" s="248"/>
      <c r="CL1063" s="248"/>
      <c r="CM1063" s="248"/>
      <c r="CN1063" s="248"/>
      <c r="CO1063" s="248"/>
      <c r="CP1063" s="248"/>
      <c r="CQ1063" s="248"/>
      <c r="CR1063" s="248"/>
      <c r="CS1063" s="248"/>
      <c r="CT1063" s="248"/>
      <c r="CU1063" s="248"/>
      <c r="CV1063" s="248"/>
      <c r="CW1063" s="248"/>
      <c r="CX1063" s="248"/>
      <c r="CY1063" s="248"/>
      <c r="CZ1063" s="248"/>
      <c r="DA1063" s="248"/>
      <c r="DB1063" s="248"/>
      <c r="DC1063" s="248"/>
      <c r="DD1063" s="248"/>
      <c r="DE1063" s="248"/>
      <c r="DF1063" s="248"/>
      <c r="DG1063" s="248"/>
      <c r="DH1063" s="248"/>
      <c r="DI1063" s="248"/>
      <c r="DJ1063" s="248"/>
      <c r="DK1063" s="248"/>
      <c r="DL1063" s="248"/>
      <c r="DM1063" s="248"/>
      <c r="DN1063" s="248"/>
      <c r="DO1063" s="248"/>
      <c r="DP1063" s="248"/>
      <c r="DQ1063" s="248"/>
      <c r="DR1063" s="248"/>
      <c r="DS1063" s="248"/>
      <c r="DT1063" s="248"/>
      <c r="DU1063" s="248"/>
      <c r="DV1063" s="248"/>
      <c r="DW1063" s="248"/>
      <c r="DX1063" s="248"/>
      <c r="DY1063" s="248"/>
      <c r="DZ1063" s="248"/>
      <c r="EA1063" s="248"/>
      <c r="EB1063" s="248"/>
      <c r="EC1063" s="248"/>
      <c r="ED1063" s="248"/>
      <c r="EE1063" s="248"/>
      <c r="EF1063" s="248"/>
      <c r="EG1063" s="248"/>
      <c r="EH1063" s="248"/>
      <c r="EI1063" s="248"/>
      <c r="EJ1063" s="248"/>
      <c r="EK1063" s="248"/>
      <c r="EL1063" s="248"/>
      <c r="EM1063" s="248"/>
      <c r="EN1063" s="248"/>
      <c r="EO1063" s="248"/>
      <c r="EP1063" s="248"/>
      <c r="EQ1063" s="248"/>
      <c r="ER1063" s="248"/>
      <c r="ES1063" s="248"/>
      <c r="ET1063" s="248"/>
      <c r="EU1063" s="248"/>
      <c r="EV1063" s="248"/>
      <c r="EW1063" s="248"/>
      <c r="EX1063" s="248"/>
      <c r="EY1063" s="248"/>
      <c r="EZ1063" s="248"/>
      <c r="FA1063" s="248"/>
      <c r="FB1063" s="248"/>
      <c r="FC1063" s="248"/>
      <c r="FD1063" s="248"/>
      <c r="FE1063" s="248"/>
      <c r="FF1063" s="248"/>
      <c r="FG1063" s="248"/>
      <c r="FH1063" s="248"/>
      <c r="FI1063" s="248"/>
      <c r="FJ1063" s="248"/>
      <c r="FK1063" s="248"/>
      <c r="FL1063" s="248"/>
      <c r="FM1063" s="248"/>
      <c r="FN1063" s="248"/>
      <c r="FO1063" s="248"/>
      <c r="FP1063" s="248"/>
      <c r="FQ1063" s="248"/>
      <c r="FR1063" s="248"/>
      <c r="FS1063" s="248"/>
      <c r="FT1063" s="248"/>
      <c r="FU1063" s="248"/>
      <c r="FV1063" s="248"/>
      <c r="FW1063" s="248"/>
      <c r="FX1063" s="248"/>
      <c r="FY1063" s="248"/>
      <c r="FZ1063" s="248"/>
      <c r="GA1063" s="248"/>
      <c r="GB1063" s="248"/>
      <c r="GC1063" s="248"/>
      <c r="GD1063" s="248"/>
      <c r="GE1063" s="248"/>
      <c r="GF1063" s="248"/>
      <c r="GG1063" s="248"/>
      <c r="GH1063" s="248"/>
      <c r="GI1063" s="248"/>
      <c r="GJ1063" s="248"/>
      <c r="GK1063" s="248"/>
      <c r="GL1063" s="248"/>
      <c r="GM1063" s="248"/>
      <c r="GN1063" s="248"/>
      <c r="GO1063" s="248"/>
      <c r="GP1063" s="248"/>
      <c r="GQ1063" s="248"/>
      <c r="GR1063" s="248"/>
      <c r="GS1063" s="248"/>
      <c r="GT1063" s="248"/>
      <c r="GU1063" s="248"/>
      <c r="GV1063" s="248"/>
      <c r="GW1063" s="248"/>
      <c r="GX1063" s="248"/>
      <c r="GY1063" s="248"/>
      <c r="GZ1063" s="248"/>
      <c r="HA1063" s="248"/>
      <c r="HB1063" s="248"/>
      <c r="HC1063" s="248"/>
      <c r="HD1063" s="248"/>
      <c r="HE1063" s="248"/>
      <c r="HF1063" s="248"/>
      <c r="HG1063" s="248"/>
      <c r="HH1063" s="248"/>
      <c r="HI1063" s="248"/>
      <c r="HJ1063" s="248"/>
      <c r="HK1063" s="248"/>
      <c r="HL1063" s="248"/>
      <c r="HM1063" s="248"/>
      <c r="HN1063" s="248"/>
      <c r="HO1063" s="248"/>
      <c r="HP1063" s="248"/>
      <c r="HQ1063" s="248"/>
      <c r="HR1063" s="248"/>
      <c r="HS1063" s="248"/>
      <c r="HT1063" s="248"/>
      <c r="HU1063" s="248"/>
      <c r="HV1063" s="248"/>
      <c r="HW1063" s="248"/>
      <c r="HX1063" s="248"/>
      <c r="HY1063" s="248"/>
      <c r="HZ1063" s="248"/>
      <c r="IA1063" s="248"/>
      <c r="IB1063" s="248"/>
      <c r="IC1063" s="248"/>
      <c r="ID1063" s="248"/>
      <c r="IE1063" s="248"/>
      <c r="IF1063" s="248"/>
      <c r="IG1063" s="248"/>
      <c r="IH1063" s="248"/>
      <c r="II1063" s="248"/>
      <c r="IJ1063" s="248"/>
      <c r="IK1063" s="248"/>
      <c r="IL1063" s="248"/>
      <c r="IM1063" s="248"/>
      <c r="IN1063" s="248"/>
      <c r="IO1063" s="248"/>
      <c r="IP1063" s="248"/>
      <c r="IQ1063" s="248"/>
      <c r="IR1063" s="248"/>
      <c r="IS1063" s="248"/>
      <c r="IT1063" s="248"/>
      <c r="IU1063" s="248"/>
      <c r="IV1063" s="248"/>
    </row>
    <row r="1064" spans="1:256" ht="15" customHeight="1" thickBot="1">
      <c r="A1064" s="234" t="s">
        <v>915</v>
      </c>
      <c r="B1064" s="455" t="s">
        <v>26</v>
      </c>
      <c r="C1064" s="846">
        <f>CEILING((C1061*0.7),0.1)</f>
        <v>94.7</v>
      </c>
      <c r="D1064" s="848"/>
      <c r="E1064" s="846">
        <f>CEILING((E1061*0.7),0.1)</f>
        <v>134.70000000000002</v>
      </c>
      <c r="F1064" s="848"/>
      <c r="G1064" s="846">
        <f>CEILING((G1061*0.7),0.1)</f>
        <v>109.2</v>
      </c>
      <c r="H1064" s="848"/>
      <c r="I1064" s="846">
        <f>CEILING((I1061*0.7),0.1)</f>
        <v>114.7</v>
      </c>
      <c r="J1064" s="848"/>
      <c r="K1064" s="846">
        <f>CEILING((K1061*0.7),0.1)</f>
        <v>94.7</v>
      </c>
      <c r="L1064" s="848"/>
      <c r="M1064" s="18"/>
      <c r="N1064" s="226"/>
      <c r="P1064" s="248"/>
      <c r="Q1064" s="248"/>
      <c r="R1064" s="248"/>
      <c r="S1064" s="248"/>
      <c r="T1064" s="248"/>
      <c r="U1064" s="248"/>
      <c r="V1064" s="248"/>
      <c r="W1064" s="248"/>
      <c r="X1064" s="248"/>
      <c r="Y1064" s="248"/>
      <c r="Z1064" s="248"/>
      <c r="AA1064" s="248"/>
      <c r="AB1064" s="248"/>
      <c r="AC1064" s="248"/>
      <c r="AD1064" s="248"/>
      <c r="AE1064" s="248"/>
      <c r="AF1064" s="248"/>
      <c r="AG1064" s="248"/>
      <c r="AH1064" s="248"/>
      <c r="AI1064" s="248"/>
      <c r="AJ1064" s="248"/>
      <c r="AK1064" s="248"/>
      <c r="AL1064" s="248"/>
      <c r="AM1064" s="248"/>
      <c r="AN1064" s="248"/>
      <c r="AO1064" s="248"/>
      <c r="AP1064" s="248"/>
      <c r="AQ1064" s="248"/>
      <c r="AR1064" s="248"/>
      <c r="AS1064" s="248"/>
      <c r="AT1064" s="248"/>
      <c r="AU1064" s="248"/>
      <c r="AV1064" s="248"/>
      <c r="AW1064" s="248"/>
      <c r="AX1064" s="248"/>
      <c r="AY1064" s="248"/>
      <c r="AZ1064" s="248"/>
      <c r="BA1064" s="248"/>
      <c r="BB1064" s="248"/>
      <c r="BC1064" s="248"/>
      <c r="BD1064" s="248"/>
      <c r="BE1064" s="248"/>
      <c r="BF1064" s="248"/>
      <c r="BG1064" s="248"/>
      <c r="BH1064" s="248"/>
      <c r="BI1064" s="248"/>
      <c r="BJ1064" s="248"/>
      <c r="BK1064" s="248"/>
      <c r="BL1064" s="248"/>
      <c r="BM1064" s="248"/>
      <c r="BN1064" s="248"/>
      <c r="BO1064" s="248"/>
      <c r="BP1064" s="248"/>
      <c r="BQ1064" s="248"/>
      <c r="BR1064" s="248"/>
      <c r="BS1064" s="248"/>
      <c r="BT1064" s="248"/>
      <c r="BU1064" s="248"/>
      <c r="BV1064" s="248"/>
      <c r="BW1064" s="248"/>
      <c r="BX1064" s="248"/>
      <c r="BY1064" s="248"/>
      <c r="BZ1064" s="248"/>
      <c r="CA1064" s="248"/>
      <c r="CB1064" s="248"/>
      <c r="CC1064" s="248"/>
      <c r="CD1064" s="248"/>
      <c r="CE1064" s="248"/>
      <c r="CF1064" s="248"/>
      <c r="CG1064" s="248"/>
      <c r="CH1064" s="248"/>
      <c r="CI1064" s="248"/>
      <c r="CJ1064" s="248"/>
      <c r="CK1064" s="248"/>
      <c r="CL1064" s="248"/>
      <c r="CM1064" s="248"/>
      <c r="CN1064" s="248"/>
      <c r="CO1064" s="248"/>
      <c r="CP1064" s="248"/>
      <c r="CQ1064" s="248"/>
      <c r="CR1064" s="248"/>
      <c r="CS1064" s="248"/>
      <c r="CT1064" s="248"/>
      <c r="CU1064" s="248"/>
      <c r="CV1064" s="248"/>
      <c r="CW1064" s="248"/>
      <c r="CX1064" s="248"/>
      <c r="CY1064" s="248"/>
      <c r="CZ1064" s="248"/>
      <c r="DA1064" s="248"/>
      <c r="DB1064" s="248"/>
      <c r="DC1064" s="248"/>
      <c r="DD1064" s="248"/>
      <c r="DE1064" s="248"/>
      <c r="DF1064" s="248"/>
      <c r="DG1064" s="248"/>
      <c r="DH1064" s="248"/>
      <c r="DI1064" s="248"/>
      <c r="DJ1064" s="248"/>
      <c r="DK1064" s="248"/>
      <c r="DL1064" s="248"/>
      <c r="DM1064" s="248"/>
      <c r="DN1064" s="248"/>
      <c r="DO1064" s="248"/>
      <c r="DP1064" s="248"/>
      <c r="DQ1064" s="248"/>
      <c r="DR1064" s="248"/>
      <c r="DS1064" s="248"/>
      <c r="DT1064" s="248"/>
      <c r="DU1064" s="248"/>
      <c r="DV1064" s="248"/>
      <c r="DW1064" s="248"/>
      <c r="DX1064" s="248"/>
      <c r="DY1064" s="248"/>
      <c r="DZ1064" s="248"/>
      <c r="EA1064" s="248"/>
      <c r="EB1064" s="248"/>
      <c r="EC1064" s="248"/>
      <c r="ED1064" s="248"/>
      <c r="EE1064" s="248"/>
      <c r="EF1064" s="248"/>
      <c r="EG1064" s="248"/>
      <c r="EH1064" s="248"/>
      <c r="EI1064" s="248"/>
      <c r="EJ1064" s="248"/>
      <c r="EK1064" s="248"/>
      <c r="EL1064" s="248"/>
      <c r="EM1064" s="248"/>
      <c r="EN1064" s="248"/>
      <c r="EO1064" s="248"/>
      <c r="EP1064" s="248"/>
      <c r="EQ1064" s="248"/>
      <c r="ER1064" s="248"/>
      <c r="ES1064" s="248"/>
      <c r="ET1064" s="248"/>
      <c r="EU1064" s="248"/>
      <c r="EV1064" s="248"/>
      <c r="EW1064" s="248"/>
      <c r="EX1064" s="248"/>
      <c r="EY1064" s="248"/>
      <c r="EZ1064" s="248"/>
      <c r="FA1064" s="248"/>
      <c r="FB1064" s="248"/>
      <c r="FC1064" s="248"/>
      <c r="FD1064" s="248"/>
      <c r="FE1064" s="248"/>
      <c r="FF1064" s="248"/>
      <c r="FG1064" s="248"/>
      <c r="FH1064" s="248"/>
      <c r="FI1064" s="248"/>
      <c r="FJ1064" s="248"/>
      <c r="FK1064" s="248"/>
      <c r="FL1064" s="248"/>
      <c r="FM1064" s="248"/>
      <c r="FN1064" s="248"/>
      <c r="FO1064" s="248"/>
      <c r="FP1064" s="248"/>
      <c r="FQ1064" s="248"/>
      <c r="FR1064" s="248"/>
      <c r="FS1064" s="248"/>
      <c r="FT1064" s="248"/>
      <c r="FU1064" s="248"/>
      <c r="FV1064" s="248"/>
      <c r="FW1064" s="248"/>
      <c r="FX1064" s="248"/>
      <c r="FY1064" s="248"/>
      <c r="FZ1064" s="248"/>
      <c r="GA1064" s="248"/>
      <c r="GB1064" s="248"/>
      <c r="GC1064" s="248"/>
      <c r="GD1064" s="248"/>
      <c r="GE1064" s="248"/>
      <c r="GF1064" s="248"/>
      <c r="GG1064" s="248"/>
      <c r="GH1064" s="248"/>
      <c r="GI1064" s="248"/>
      <c r="GJ1064" s="248"/>
      <c r="GK1064" s="248"/>
      <c r="GL1064" s="248"/>
      <c r="GM1064" s="248"/>
      <c r="GN1064" s="248"/>
      <c r="GO1064" s="248"/>
      <c r="GP1064" s="248"/>
      <c r="GQ1064" s="248"/>
      <c r="GR1064" s="248"/>
      <c r="GS1064" s="248"/>
      <c r="GT1064" s="248"/>
      <c r="GU1064" s="248"/>
      <c r="GV1064" s="248"/>
      <c r="GW1064" s="248"/>
      <c r="GX1064" s="248"/>
      <c r="GY1064" s="248"/>
      <c r="GZ1064" s="248"/>
      <c r="HA1064" s="248"/>
      <c r="HB1064" s="248"/>
      <c r="HC1064" s="248"/>
      <c r="HD1064" s="248"/>
      <c r="HE1064" s="248"/>
      <c r="HF1064" s="248"/>
      <c r="HG1064" s="248"/>
      <c r="HH1064" s="248"/>
      <c r="HI1064" s="248"/>
      <c r="HJ1064" s="248"/>
      <c r="HK1064" s="248"/>
      <c r="HL1064" s="248"/>
      <c r="HM1064" s="248"/>
      <c r="HN1064" s="248"/>
      <c r="HO1064" s="248"/>
      <c r="HP1064" s="248"/>
      <c r="HQ1064" s="248"/>
      <c r="HR1064" s="248"/>
      <c r="HS1064" s="248"/>
      <c r="HT1064" s="248"/>
      <c r="HU1064" s="248"/>
      <c r="HV1064" s="248"/>
      <c r="HW1064" s="248"/>
      <c r="HX1064" s="248"/>
      <c r="HY1064" s="248"/>
      <c r="HZ1064" s="248"/>
      <c r="IA1064" s="248"/>
      <c r="IB1064" s="248"/>
      <c r="IC1064" s="248"/>
      <c r="ID1064" s="248"/>
      <c r="IE1064" s="248"/>
      <c r="IF1064" s="248"/>
      <c r="IG1064" s="248"/>
      <c r="IH1064" s="248"/>
      <c r="II1064" s="248"/>
      <c r="IJ1064" s="248"/>
      <c r="IK1064" s="248"/>
      <c r="IL1064" s="248"/>
      <c r="IM1064" s="248"/>
      <c r="IN1064" s="248"/>
      <c r="IO1064" s="248"/>
      <c r="IP1064" s="248"/>
      <c r="IQ1064" s="248"/>
      <c r="IR1064" s="248"/>
      <c r="IS1064" s="248"/>
      <c r="IT1064" s="248"/>
      <c r="IU1064" s="248"/>
      <c r="IV1064" s="248"/>
    </row>
    <row r="1065" spans="1:256" ht="17.25" customHeight="1" thickTop="1">
      <c r="A1065" s="306" t="s">
        <v>811</v>
      </c>
      <c r="B1065" s="557"/>
      <c r="C1065" s="749"/>
      <c r="D1065" s="749"/>
      <c r="E1065" s="749"/>
      <c r="F1065" s="749"/>
      <c r="G1065" s="749"/>
      <c r="H1065" s="749"/>
      <c r="I1065" s="792"/>
      <c r="J1065" s="792"/>
      <c r="K1065" s="502"/>
      <c r="L1065" s="502"/>
      <c r="M1065" s="18"/>
      <c r="N1065" s="226"/>
      <c r="P1065" s="248"/>
      <c r="Q1065" s="248"/>
      <c r="R1065" s="248"/>
      <c r="S1065" s="248"/>
      <c r="T1065" s="248"/>
      <c r="U1065" s="248"/>
      <c r="V1065" s="248"/>
      <c r="W1065" s="248"/>
      <c r="X1065" s="248"/>
      <c r="Y1065" s="248"/>
      <c r="Z1065" s="248"/>
      <c r="AA1065" s="248"/>
      <c r="AB1065" s="248"/>
      <c r="AC1065" s="248"/>
      <c r="AD1065" s="248"/>
      <c r="AE1065" s="248"/>
      <c r="AF1065" s="248"/>
      <c r="AG1065" s="248"/>
      <c r="AH1065" s="248"/>
      <c r="AI1065" s="248"/>
      <c r="AJ1065" s="248"/>
      <c r="AK1065" s="248"/>
      <c r="AL1065" s="248"/>
      <c r="AM1065" s="248"/>
      <c r="AN1065" s="248"/>
      <c r="AO1065" s="248"/>
      <c r="AP1065" s="248"/>
      <c r="AQ1065" s="248"/>
      <c r="AR1065" s="248"/>
      <c r="AS1065" s="248"/>
      <c r="AT1065" s="248"/>
      <c r="AU1065" s="248"/>
      <c r="AV1065" s="248"/>
      <c r="AW1065" s="248"/>
      <c r="AX1065" s="248"/>
      <c r="AY1065" s="248"/>
      <c r="AZ1065" s="248"/>
      <c r="BA1065" s="248"/>
      <c r="BB1065" s="248"/>
      <c r="BC1065" s="248"/>
      <c r="BD1065" s="248"/>
      <c r="BE1065" s="248"/>
      <c r="BF1065" s="248"/>
      <c r="BG1065" s="248"/>
      <c r="BH1065" s="248"/>
      <c r="BI1065" s="248"/>
      <c r="BJ1065" s="248"/>
      <c r="BK1065" s="248"/>
      <c r="BL1065" s="248"/>
      <c r="BM1065" s="248"/>
      <c r="BN1065" s="248"/>
      <c r="BO1065" s="248"/>
      <c r="BP1065" s="248"/>
      <c r="BQ1065" s="248"/>
      <c r="BR1065" s="248"/>
      <c r="BS1065" s="248"/>
      <c r="BT1065" s="248"/>
      <c r="BU1065" s="248"/>
      <c r="BV1065" s="248"/>
      <c r="BW1065" s="248"/>
      <c r="BX1065" s="248"/>
      <c r="BY1065" s="248"/>
      <c r="BZ1065" s="248"/>
      <c r="CA1065" s="248"/>
      <c r="CB1065" s="248"/>
      <c r="CC1065" s="248"/>
      <c r="CD1065" s="248"/>
      <c r="CE1065" s="248"/>
      <c r="CF1065" s="248"/>
      <c r="CG1065" s="248"/>
      <c r="CH1065" s="248"/>
      <c r="CI1065" s="248"/>
      <c r="CJ1065" s="248"/>
      <c r="CK1065" s="248"/>
      <c r="CL1065" s="248"/>
      <c r="CM1065" s="248"/>
      <c r="CN1065" s="248"/>
      <c r="CO1065" s="248"/>
      <c r="CP1065" s="248"/>
      <c r="CQ1065" s="248"/>
      <c r="CR1065" s="248"/>
      <c r="CS1065" s="248"/>
      <c r="CT1065" s="248"/>
      <c r="CU1065" s="248"/>
      <c r="CV1065" s="248"/>
      <c r="CW1065" s="248"/>
      <c r="CX1065" s="248"/>
      <c r="CY1065" s="248"/>
      <c r="CZ1065" s="248"/>
      <c r="DA1065" s="248"/>
      <c r="DB1065" s="248"/>
      <c r="DC1065" s="248"/>
      <c r="DD1065" s="248"/>
      <c r="DE1065" s="248"/>
      <c r="DF1065" s="248"/>
      <c r="DG1065" s="248"/>
      <c r="DH1065" s="248"/>
      <c r="DI1065" s="248"/>
      <c r="DJ1065" s="248"/>
      <c r="DK1065" s="248"/>
      <c r="DL1065" s="248"/>
      <c r="DM1065" s="248"/>
      <c r="DN1065" s="248"/>
      <c r="DO1065" s="248"/>
      <c r="DP1065" s="248"/>
      <c r="DQ1065" s="248"/>
      <c r="DR1065" s="248"/>
      <c r="DS1065" s="248"/>
      <c r="DT1065" s="248"/>
      <c r="DU1065" s="248"/>
      <c r="DV1065" s="248"/>
      <c r="DW1065" s="248"/>
      <c r="DX1065" s="248"/>
      <c r="DY1065" s="248"/>
      <c r="DZ1065" s="248"/>
      <c r="EA1065" s="248"/>
      <c r="EB1065" s="248"/>
      <c r="EC1065" s="248"/>
      <c r="ED1065" s="248"/>
      <c r="EE1065" s="248"/>
      <c r="EF1065" s="248"/>
      <c r="EG1065" s="248"/>
      <c r="EH1065" s="248"/>
      <c r="EI1065" s="248"/>
      <c r="EJ1065" s="248"/>
      <c r="EK1065" s="248"/>
      <c r="EL1065" s="248"/>
      <c r="EM1065" s="248"/>
      <c r="EN1065" s="248"/>
      <c r="EO1065" s="248"/>
      <c r="EP1065" s="248"/>
      <c r="EQ1065" s="248"/>
      <c r="ER1065" s="248"/>
      <c r="ES1065" s="248"/>
      <c r="ET1065" s="248"/>
      <c r="EU1065" s="248"/>
      <c r="EV1065" s="248"/>
      <c r="EW1065" s="248"/>
      <c r="EX1065" s="248"/>
      <c r="EY1065" s="248"/>
      <c r="EZ1065" s="248"/>
      <c r="FA1065" s="248"/>
      <c r="FB1065" s="248"/>
      <c r="FC1065" s="248"/>
      <c r="FD1065" s="248"/>
      <c r="FE1065" s="248"/>
      <c r="FF1065" s="248"/>
      <c r="FG1065" s="248"/>
      <c r="FH1065" s="248"/>
      <c r="FI1065" s="248"/>
      <c r="FJ1065" s="248"/>
      <c r="FK1065" s="248"/>
      <c r="FL1065" s="248"/>
      <c r="FM1065" s="248"/>
      <c r="FN1065" s="248"/>
      <c r="FO1065" s="248"/>
      <c r="FP1065" s="248"/>
      <c r="FQ1065" s="248"/>
      <c r="FR1065" s="248"/>
      <c r="FS1065" s="248"/>
      <c r="FT1065" s="248"/>
      <c r="FU1065" s="248"/>
      <c r="FV1065" s="248"/>
      <c r="FW1065" s="248"/>
      <c r="FX1065" s="248"/>
      <c r="FY1065" s="248"/>
      <c r="FZ1065" s="248"/>
      <c r="GA1065" s="248"/>
      <c r="GB1065" s="248"/>
      <c r="GC1065" s="248"/>
      <c r="GD1065" s="248"/>
      <c r="GE1065" s="248"/>
      <c r="GF1065" s="248"/>
      <c r="GG1065" s="248"/>
      <c r="GH1065" s="248"/>
      <c r="GI1065" s="248"/>
      <c r="GJ1065" s="248"/>
      <c r="GK1065" s="248"/>
      <c r="GL1065" s="248"/>
      <c r="GM1065" s="248"/>
      <c r="GN1065" s="248"/>
      <c r="GO1065" s="248"/>
      <c r="GP1065" s="248"/>
      <c r="GQ1065" s="248"/>
      <c r="GR1065" s="248"/>
      <c r="GS1065" s="248"/>
      <c r="GT1065" s="248"/>
      <c r="GU1065" s="248"/>
      <c r="GV1065" s="248"/>
      <c r="GW1065" s="248"/>
      <c r="GX1065" s="248"/>
      <c r="GY1065" s="248"/>
      <c r="GZ1065" s="248"/>
      <c r="HA1065" s="248"/>
      <c r="HB1065" s="248"/>
      <c r="HC1065" s="248"/>
      <c r="HD1065" s="248"/>
      <c r="HE1065" s="248"/>
      <c r="HF1065" s="248"/>
      <c r="HG1065" s="248"/>
      <c r="HH1065" s="248"/>
      <c r="HI1065" s="248"/>
      <c r="HJ1065" s="248"/>
      <c r="HK1065" s="248"/>
      <c r="HL1065" s="248"/>
      <c r="HM1065" s="248"/>
      <c r="HN1065" s="248"/>
      <c r="HO1065" s="248"/>
      <c r="HP1065" s="248"/>
      <c r="HQ1065" s="248"/>
      <c r="HR1065" s="248"/>
      <c r="HS1065" s="248"/>
      <c r="HT1065" s="248"/>
      <c r="HU1065" s="248"/>
      <c r="HV1065" s="248"/>
      <c r="HW1065" s="248"/>
      <c r="HX1065" s="248"/>
      <c r="HY1065" s="248"/>
      <c r="HZ1065" s="248"/>
      <c r="IA1065" s="248"/>
      <c r="IB1065" s="248"/>
      <c r="IC1065" s="248"/>
      <c r="ID1065" s="248"/>
      <c r="IE1065" s="248"/>
      <c r="IF1065" s="248"/>
      <c r="IG1065" s="248"/>
      <c r="IH1065" s="248"/>
      <c r="II1065" s="248"/>
      <c r="IJ1065" s="248"/>
      <c r="IK1065" s="248"/>
      <c r="IL1065" s="248"/>
      <c r="IM1065" s="248"/>
      <c r="IN1065" s="248"/>
      <c r="IO1065" s="248"/>
      <c r="IP1065" s="248"/>
      <c r="IQ1065" s="248"/>
      <c r="IR1065" s="248"/>
      <c r="IS1065" s="248"/>
      <c r="IT1065" s="248"/>
      <c r="IU1065" s="248"/>
      <c r="IV1065" s="248"/>
    </row>
    <row r="1066" spans="1:17" ht="16.5" customHeight="1">
      <c r="A1066" s="1102" t="s">
        <v>27</v>
      </c>
      <c r="B1066" s="1103"/>
      <c r="C1066" s="1103"/>
      <c r="D1066" s="1103"/>
      <c r="E1066" s="1103"/>
      <c r="F1066" s="1103"/>
      <c r="G1066" s="1103"/>
      <c r="H1066" s="1103"/>
      <c r="I1066" s="1103"/>
      <c r="J1066" s="1103"/>
      <c r="K1066" s="1103"/>
      <c r="L1066" s="1103"/>
      <c r="M1066" s="1103"/>
      <c r="N1066" s="1103"/>
      <c r="P1066" s="845"/>
      <c r="Q1066" s="845"/>
    </row>
    <row r="1067" spans="1:25" s="724" customFormat="1" ht="16.5" customHeight="1">
      <c r="A1067" s="248" t="s">
        <v>812</v>
      </c>
      <c r="B1067" s="467"/>
      <c r="C1067" s="467"/>
      <c r="D1067" s="467"/>
      <c r="E1067" s="467"/>
      <c r="F1067" s="467"/>
      <c r="G1067" s="467"/>
      <c r="H1067" s="467"/>
      <c r="I1067" s="467"/>
      <c r="J1067" s="467"/>
      <c r="K1067" s="467"/>
      <c r="L1067" s="467"/>
      <c r="M1067" s="467"/>
      <c r="N1067" s="467"/>
      <c r="O1067" s="244"/>
      <c r="P1067" s="741"/>
      <c r="Q1067" s="741"/>
      <c r="R1067" s="244"/>
      <c r="S1067" s="244"/>
      <c r="T1067" s="244"/>
      <c r="U1067" s="244"/>
      <c r="V1067" s="244"/>
      <c r="W1067" s="244"/>
      <c r="X1067" s="244"/>
      <c r="Y1067" s="244"/>
    </row>
    <row r="1068" spans="1:25" s="724" customFormat="1" ht="16.5" customHeight="1">
      <c r="A1068" s="248" t="s">
        <v>813</v>
      </c>
      <c r="B1068" s="467"/>
      <c r="C1068" s="467"/>
      <c r="D1068" s="467"/>
      <c r="E1068" s="467"/>
      <c r="F1068" s="467"/>
      <c r="G1068" s="467"/>
      <c r="H1068" s="467"/>
      <c r="I1068" s="467"/>
      <c r="J1068" s="467"/>
      <c r="K1068" s="467"/>
      <c r="L1068" s="467"/>
      <c r="M1068" s="467"/>
      <c r="N1068" s="467"/>
      <c r="O1068" s="244"/>
      <c r="P1068" s="741"/>
      <c r="Q1068" s="741"/>
      <c r="R1068" s="244"/>
      <c r="S1068" s="244"/>
      <c r="T1068" s="244"/>
      <c r="U1068" s="244"/>
      <c r="V1068" s="244"/>
      <c r="W1068" s="244"/>
      <c r="X1068" s="244"/>
      <c r="Y1068" s="244"/>
    </row>
    <row r="1069" spans="1:25" ht="18.75" customHeight="1" thickBot="1">
      <c r="A1069" s="456"/>
      <c r="B1069" s="131"/>
      <c r="C1069" s="131"/>
      <c r="D1069" s="131"/>
      <c r="E1069" s="131"/>
      <c r="F1069" s="131"/>
      <c r="G1069" s="131"/>
      <c r="H1069" s="131"/>
      <c r="I1069" s="678"/>
      <c r="J1069" s="678"/>
      <c r="K1069" s="502"/>
      <c r="L1069" s="502"/>
      <c r="M1069" s="18"/>
      <c r="N1069" s="226"/>
      <c r="P1069" s="845"/>
      <c r="Q1069" s="845"/>
      <c r="X1069"/>
      <c r="Y1069"/>
    </row>
    <row r="1070" spans="1:17" ht="23.25" customHeight="1" thickTop="1">
      <c r="A1070" s="93" t="s">
        <v>74</v>
      </c>
      <c r="B1070" s="301"/>
      <c r="C1070" s="852" t="s">
        <v>665</v>
      </c>
      <c r="D1070" s="853"/>
      <c r="E1070" s="852" t="s">
        <v>716</v>
      </c>
      <c r="F1070" s="853"/>
      <c r="G1070" s="852" t="s">
        <v>721</v>
      </c>
      <c r="H1070" s="853"/>
      <c r="I1070" s="870" t="s">
        <v>668</v>
      </c>
      <c r="J1070" s="871"/>
      <c r="K1070" s="598"/>
      <c r="L1070" s="675"/>
      <c r="M1070" s="18"/>
      <c r="N1070" s="226"/>
      <c r="P1070" s="845"/>
      <c r="Q1070" s="845"/>
    </row>
    <row r="1071" spans="1:14" ht="16.5" customHeight="1">
      <c r="A1071" s="59" t="s">
        <v>192</v>
      </c>
      <c r="B1071" s="45" t="s">
        <v>82</v>
      </c>
      <c r="C1071" s="840">
        <f>CEILING(55*$Z$1,0.1)</f>
        <v>71.5</v>
      </c>
      <c r="D1071" s="844"/>
      <c r="E1071" s="840">
        <f>CEILING(92*$Z$1,0.1)</f>
        <v>119.60000000000001</v>
      </c>
      <c r="F1071" s="844"/>
      <c r="G1071" s="840">
        <f>CEILING(71*$Z$1,0.1)</f>
        <v>92.30000000000001</v>
      </c>
      <c r="H1071" s="844"/>
      <c r="I1071" s="840">
        <f>CEILING(58*$Z$1,0.1)</f>
        <v>75.4</v>
      </c>
      <c r="J1071" s="844"/>
      <c r="K1071" s="588"/>
      <c r="L1071" s="590"/>
      <c r="M1071" s="18"/>
      <c r="N1071" s="226"/>
    </row>
    <row r="1072" spans="1:14" ht="15" customHeight="1">
      <c r="A1072" s="56" t="s">
        <v>91</v>
      </c>
      <c r="B1072" s="14" t="s">
        <v>83</v>
      </c>
      <c r="C1072" s="840">
        <f>_xlfn.CEILING.MATH((C1071+20*$Z$1),0.1)</f>
        <v>97.5</v>
      </c>
      <c r="D1072" s="841"/>
      <c r="E1072" s="840">
        <f>_xlfn.CEILING.MATH((E1071+20*$Z$1),0.1)</f>
        <v>145.6</v>
      </c>
      <c r="F1072" s="841"/>
      <c r="G1072" s="840">
        <f>_xlfn.CEILING.MATH((G1071+20*$Z$1),0.1)</f>
        <v>118.30000000000001</v>
      </c>
      <c r="H1072" s="841"/>
      <c r="I1072" s="840">
        <f>_xlfn.CEILING.MATH((I1071+20*$Z$1),0.1)</f>
        <v>101.4</v>
      </c>
      <c r="J1072" s="841"/>
      <c r="K1072" s="588"/>
      <c r="L1072" s="590"/>
      <c r="M1072" s="18"/>
      <c r="N1072" s="226"/>
    </row>
    <row r="1073" spans="1:14" ht="17.25" customHeight="1">
      <c r="A1073" s="451"/>
      <c r="B1073" s="14" t="s">
        <v>116</v>
      </c>
      <c r="C1073" s="840">
        <f>CEILING((C1071*0.85),0.1)</f>
        <v>60.800000000000004</v>
      </c>
      <c r="D1073" s="841"/>
      <c r="E1073" s="840">
        <f>CEILING((E1071*0.85),0.1)</f>
        <v>101.7</v>
      </c>
      <c r="F1073" s="841"/>
      <c r="G1073" s="840">
        <f>CEILING((G1071*0.85),0.1)</f>
        <v>78.5</v>
      </c>
      <c r="H1073" s="841"/>
      <c r="I1073" s="840">
        <f>CEILING((I1071*0.85),0.1)</f>
        <v>64.10000000000001</v>
      </c>
      <c r="J1073" s="841"/>
      <c r="K1073" s="588"/>
      <c r="L1073" s="590"/>
      <c r="M1073" s="22"/>
      <c r="N1073" s="22"/>
    </row>
    <row r="1074" spans="1:14" ht="15.75" customHeight="1">
      <c r="A1074" s="243"/>
      <c r="B1074" s="14" t="s">
        <v>126</v>
      </c>
      <c r="C1074" s="842">
        <v>0</v>
      </c>
      <c r="D1074" s="843"/>
      <c r="E1074" s="840">
        <f>CEILING((E1071*0.5),0.1)</f>
        <v>59.800000000000004</v>
      </c>
      <c r="F1074" s="841"/>
      <c r="G1074" s="840">
        <f>CEILING((G1071*0.5),0.1)</f>
        <v>46.2</v>
      </c>
      <c r="H1074" s="841"/>
      <c r="I1074" s="842">
        <v>0</v>
      </c>
      <c r="J1074" s="843"/>
      <c r="K1074" s="842"/>
      <c r="L1074" s="845"/>
      <c r="M1074" s="22"/>
      <c r="N1074" s="22"/>
    </row>
    <row r="1075" spans="1:14" ht="16.5" customHeight="1">
      <c r="A1075" s="451"/>
      <c r="B1075" s="206" t="s">
        <v>545</v>
      </c>
      <c r="C1075" s="840">
        <f>_xlfn.CEILING.MATH((C1071+6*$Z$1),0.1)</f>
        <v>79.30000000000001</v>
      </c>
      <c r="D1075" s="841"/>
      <c r="E1075" s="840">
        <f>_xlfn.CEILING.MATH((E1071+6*$Z$1),0.1)</f>
        <v>127.4</v>
      </c>
      <c r="F1075" s="841"/>
      <c r="G1075" s="840">
        <f>_xlfn.CEILING.MATH((G1071+6*$Z$1),0.1)</f>
        <v>100.10000000000001</v>
      </c>
      <c r="H1075" s="841"/>
      <c r="I1075" s="840">
        <f>_xlfn.CEILING.MATH((I1071+6*$Z$1),0.1)</f>
        <v>83.2</v>
      </c>
      <c r="J1075" s="841"/>
      <c r="K1075" s="842"/>
      <c r="L1075" s="845"/>
      <c r="M1075" s="22"/>
      <c r="N1075" s="22"/>
    </row>
    <row r="1076" spans="1:14" ht="15.75" customHeight="1">
      <c r="A1076" s="451"/>
      <c r="B1076" s="206" t="s">
        <v>518</v>
      </c>
      <c r="C1076" s="840">
        <f>_xlfn.CEILING.MATH((C1075+20*$Z$1),0.1)</f>
        <v>105.30000000000001</v>
      </c>
      <c r="D1076" s="841"/>
      <c r="E1076" s="840">
        <f>_xlfn.CEILING.MATH((E1075+20*$Z$1),0.1)</f>
        <v>153.4</v>
      </c>
      <c r="F1076" s="841"/>
      <c r="G1076" s="840">
        <f>_xlfn.CEILING.MATH((G1075+20*$Z$1),0.1)</f>
        <v>126.10000000000001</v>
      </c>
      <c r="H1076" s="841"/>
      <c r="I1076" s="840">
        <f>_xlfn.CEILING.MATH((I1075+20*$Z$1),0.1)</f>
        <v>109.2</v>
      </c>
      <c r="J1076" s="841"/>
      <c r="K1076" s="842"/>
      <c r="L1076" s="845"/>
      <c r="M1076" s="22"/>
      <c r="N1076" s="22"/>
    </row>
    <row r="1077" spans="1:14" ht="15.75" customHeight="1">
      <c r="A1077" s="451"/>
      <c r="B1077" s="206" t="s">
        <v>590</v>
      </c>
      <c r="C1077" s="840">
        <f>_xlfn.CEILING.MATH((C1071+15*$Z$1),0.1)</f>
        <v>91</v>
      </c>
      <c r="D1077" s="841"/>
      <c r="E1077" s="840">
        <f>_xlfn.CEILING.MATH((E1071+15*$Z$1),0.1)</f>
        <v>139.1</v>
      </c>
      <c r="F1077" s="841"/>
      <c r="G1077" s="840">
        <f>_xlfn.CEILING.MATH((G1071+15*$Z$1),0.1)</f>
        <v>111.80000000000001</v>
      </c>
      <c r="H1077" s="841"/>
      <c r="I1077" s="840">
        <f>_xlfn.CEILING.MATH((I1071+15*$Z$1),0.1)</f>
        <v>94.9</v>
      </c>
      <c r="J1077" s="841"/>
      <c r="K1077" s="842"/>
      <c r="L1077" s="845"/>
      <c r="M1077" s="22"/>
      <c r="N1077" s="22"/>
    </row>
    <row r="1078" spans="1:14" ht="18" customHeight="1" thickBot="1">
      <c r="A1078" s="234" t="s">
        <v>914</v>
      </c>
      <c r="B1078" s="253" t="s">
        <v>544</v>
      </c>
      <c r="C1078" s="846">
        <f>_xlfn.CEILING.MATH((C1077+20*$Z$1),0.1)</f>
        <v>117</v>
      </c>
      <c r="D1078" s="848"/>
      <c r="E1078" s="846">
        <f>_xlfn.CEILING.MATH((E1077+20*$Z$1),0.1)</f>
        <v>165.10000000000002</v>
      </c>
      <c r="F1078" s="848"/>
      <c r="G1078" s="846">
        <f>_xlfn.CEILING.MATH((G1077+20*$Z$1),0.1)</f>
        <v>137.8</v>
      </c>
      <c r="H1078" s="848"/>
      <c r="I1078" s="846">
        <f>_xlfn.CEILING.MATH((I1077+20*$Z$1),0.1)</f>
        <v>120.9</v>
      </c>
      <c r="J1078" s="848"/>
      <c r="K1078" s="588"/>
      <c r="L1078" s="590"/>
      <c r="M1078" s="76"/>
      <c r="N1078" s="76"/>
    </row>
    <row r="1079" spans="1:14" ht="16.5" customHeight="1" thickTop="1">
      <c r="A1079" s="302" t="s">
        <v>814</v>
      </c>
      <c r="B1079" s="246"/>
      <c r="C1079" s="246"/>
      <c r="D1079" s="246"/>
      <c r="E1079" s="246"/>
      <c r="F1079" s="246"/>
      <c r="G1079" s="246"/>
      <c r="H1079" s="246"/>
      <c r="I1079" s="246"/>
      <c r="J1079" s="246"/>
      <c r="K1079" s="552"/>
      <c r="L1079" s="552"/>
      <c r="M1079" s="18"/>
      <c r="N1079" s="226"/>
    </row>
    <row r="1080" spans="1:25" s="724" customFormat="1" ht="16.5" customHeight="1">
      <c r="A1080" s="248" t="s">
        <v>817</v>
      </c>
      <c r="B1080" s="24"/>
      <c r="C1080" s="24"/>
      <c r="D1080" s="24"/>
      <c r="E1080" s="24"/>
      <c r="F1080" s="24"/>
      <c r="G1080" s="24"/>
      <c r="H1080" s="24"/>
      <c r="I1080" s="24"/>
      <c r="J1080" s="24"/>
      <c r="K1080" s="552"/>
      <c r="L1080" s="552"/>
      <c r="M1080" s="18"/>
      <c r="N1080" s="226"/>
      <c r="O1080" s="244"/>
      <c r="P1080" s="244"/>
      <c r="Q1080" s="244"/>
      <c r="R1080" s="244"/>
      <c r="S1080" s="244"/>
      <c r="T1080" s="244"/>
      <c r="U1080" s="244"/>
      <c r="V1080" s="244"/>
      <c r="W1080" s="244"/>
      <c r="X1080" s="244"/>
      <c r="Y1080" s="244"/>
    </row>
    <row r="1081" spans="1:25" s="724" customFormat="1" ht="16.5" customHeight="1">
      <c r="A1081" s="248" t="s">
        <v>815</v>
      </c>
      <c r="B1081" s="24"/>
      <c r="C1081" s="24"/>
      <c r="D1081" s="24"/>
      <c r="E1081" s="24"/>
      <c r="F1081" s="24"/>
      <c r="G1081" s="24"/>
      <c r="H1081" s="24"/>
      <c r="I1081" s="24"/>
      <c r="J1081" s="24"/>
      <c r="K1081" s="552"/>
      <c r="L1081" s="552"/>
      <c r="M1081" s="18"/>
      <c r="N1081" s="226"/>
      <c r="O1081" s="244"/>
      <c r="P1081" s="244"/>
      <c r="Q1081" s="244"/>
      <c r="R1081" s="244"/>
      <c r="S1081" s="244"/>
      <c r="T1081" s="244"/>
      <c r="U1081" s="244"/>
      <c r="V1081" s="244"/>
      <c r="W1081" s="244"/>
      <c r="X1081" s="244"/>
      <c r="Y1081" s="244"/>
    </row>
    <row r="1082" spans="1:14" ht="18.75" customHeight="1">
      <c r="A1082" s="1100"/>
      <c r="B1082" s="1100"/>
      <c r="C1082" s="1100"/>
      <c r="D1082" s="1100"/>
      <c r="E1082" s="1100"/>
      <c r="F1082" s="1100"/>
      <c r="G1082" s="1100"/>
      <c r="H1082" s="1100"/>
      <c r="I1082" s="1100"/>
      <c r="J1082" s="1100"/>
      <c r="K1082" s="128"/>
      <c r="L1082" s="502"/>
      <c r="M1082" s="18"/>
      <c r="N1082" s="226"/>
    </row>
    <row r="1083" spans="1:14" ht="16.5" customHeight="1">
      <c r="A1083" s="867" t="s">
        <v>700</v>
      </c>
      <c r="B1083" s="867"/>
      <c r="C1083" s="867"/>
      <c r="D1083" s="867"/>
      <c r="E1083" s="867"/>
      <c r="F1083" s="867"/>
      <c r="G1083" s="867"/>
      <c r="H1083" s="867"/>
      <c r="I1083" s="692"/>
      <c r="J1083" s="211"/>
      <c r="K1083" s="128"/>
      <c r="L1083" s="128"/>
      <c r="M1083" s="18"/>
      <c r="N1083" s="226"/>
    </row>
    <row r="1084" spans="1:25" s="724" customFormat="1" ht="16.5" customHeight="1">
      <c r="A1084" s="929" t="s">
        <v>701</v>
      </c>
      <c r="B1084" s="929"/>
      <c r="C1084" s="929"/>
      <c r="D1084" s="929"/>
      <c r="E1084" s="929"/>
      <c r="F1084" s="929"/>
      <c r="G1084" s="929"/>
      <c r="H1084" s="929"/>
      <c r="I1084" s="929"/>
      <c r="J1084" s="929"/>
      <c r="K1084" s="128"/>
      <c r="L1084" s="128"/>
      <c r="M1084" s="18"/>
      <c r="N1084" s="226"/>
      <c r="O1084" s="244"/>
      <c r="P1084" s="244"/>
      <c r="Q1084" s="244"/>
      <c r="R1084" s="244"/>
      <c r="S1084" s="244"/>
      <c r="T1084" s="244"/>
      <c r="U1084" s="244"/>
      <c r="V1084" s="244"/>
      <c r="W1084" s="244"/>
      <c r="X1084" s="244"/>
      <c r="Y1084" s="244"/>
    </row>
    <row r="1085" spans="1:14" ht="18" customHeight="1">
      <c r="A1085" s="965" t="s">
        <v>970</v>
      </c>
      <c r="B1085" s="965"/>
      <c r="C1085" s="965"/>
      <c r="D1085" s="965"/>
      <c r="E1085" s="965"/>
      <c r="F1085" s="965"/>
      <c r="G1085" s="965"/>
      <c r="H1085" s="965"/>
      <c r="I1085" s="961"/>
      <c r="J1085" s="154"/>
      <c r="K1085" s="502"/>
      <c r="L1085" s="502"/>
      <c r="M1085" s="18"/>
      <c r="N1085" s="226"/>
    </row>
    <row r="1086" spans="1:14" ht="17.25" customHeight="1">
      <c r="A1086" s="965" t="s">
        <v>971</v>
      </c>
      <c r="B1086" s="965"/>
      <c r="C1086" s="965"/>
      <c r="D1086" s="965"/>
      <c r="E1086" s="965"/>
      <c r="F1086" s="965"/>
      <c r="G1086" s="965"/>
      <c r="H1086" s="965"/>
      <c r="I1086" s="696"/>
      <c r="J1086" s="154"/>
      <c r="K1086" s="502"/>
      <c r="L1086" s="502"/>
      <c r="M1086" s="18"/>
      <c r="N1086" s="226"/>
    </row>
    <row r="1087" spans="1:14" ht="15">
      <c r="A1087" s="155"/>
      <c r="B1087" s="155"/>
      <c r="C1087" s="155"/>
      <c r="D1087" s="155"/>
      <c r="E1087" s="155"/>
      <c r="F1087" s="155"/>
      <c r="G1087" s="155"/>
      <c r="H1087" s="155"/>
      <c r="I1087" s="155"/>
      <c r="J1087" s="155"/>
      <c r="K1087" s="502"/>
      <c r="L1087" s="502"/>
      <c r="M1087" s="18"/>
      <c r="N1087" s="226"/>
    </row>
    <row r="1088" spans="1:14" ht="15.75">
      <c r="A1088" s="1014" t="s">
        <v>421</v>
      </c>
      <c r="B1088" s="1014"/>
      <c r="C1088" s="1014"/>
      <c r="D1088" s="1014"/>
      <c r="E1088" s="1014"/>
      <c r="F1088" s="1014"/>
      <c r="G1088" s="1014"/>
      <c r="H1088" s="1014"/>
      <c r="I1088" s="1014"/>
      <c r="J1088" s="1014"/>
      <c r="K1088" s="502"/>
      <c r="L1088" s="502"/>
      <c r="M1088" s="18"/>
      <c r="N1088" s="226"/>
    </row>
    <row r="1089" spans="1:14" ht="15.75" thickBot="1">
      <c r="A1089" s="1094" t="s">
        <v>193</v>
      </c>
      <c r="B1089" s="1094"/>
      <c r="C1089" s="1094"/>
      <c r="D1089" s="1094"/>
      <c r="E1089" s="1094"/>
      <c r="F1089" s="1094"/>
      <c r="G1089" s="1094"/>
      <c r="H1089" s="1094"/>
      <c r="I1089" s="1094"/>
      <c r="J1089" s="1094"/>
      <c r="K1089" s="128"/>
      <c r="L1089" s="502"/>
      <c r="M1089" s="18"/>
      <c r="N1089" s="226"/>
    </row>
    <row r="1090" spans="1:14" ht="29.25" customHeight="1" thickTop="1">
      <c r="A1090" s="93" t="s">
        <v>74</v>
      </c>
      <c r="B1090" s="93"/>
      <c r="C1090" s="420" t="s">
        <v>599</v>
      </c>
      <c r="D1090" s="421"/>
      <c r="E1090" s="422" t="s">
        <v>600</v>
      </c>
      <c r="F1090" s="423"/>
      <c r="G1090" s="422" t="s">
        <v>601</v>
      </c>
      <c r="H1090" s="423"/>
      <c r="I1090" s="422" t="s">
        <v>602</v>
      </c>
      <c r="J1090" s="423"/>
      <c r="K1090" s="422" t="s">
        <v>603</v>
      </c>
      <c r="L1090" s="599"/>
      <c r="M1090" s="23"/>
      <c r="N1090" s="226"/>
    </row>
    <row r="1091" spans="1:14" ht="15">
      <c r="A1091" s="345" t="s">
        <v>194</v>
      </c>
      <c r="B1091" s="31" t="s">
        <v>75</v>
      </c>
      <c r="C1091" s="840">
        <f>CEILING(100*$Z$1,0.1)</f>
        <v>130</v>
      </c>
      <c r="D1091" s="844"/>
      <c r="E1091" s="840">
        <f>CEILING(160*$Z$1,0.1)</f>
        <v>208</v>
      </c>
      <c r="F1091" s="844"/>
      <c r="G1091" s="840">
        <f>CEILING(145*$Z$1,0.1)</f>
        <v>188.5</v>
      </c>
      <c r="H1091" s="844"/>
      <c r="I1091" s="840">
        <f>CEILING(165*$Z$1,0.1)</f>
        <v>214.5</v>
      </c>
      <c r="J1091" s="844"/>
      <c r="K1091" s="840">
        <f>CEILING(135*$Z$1,0.1)</f>
        <v>175.5</v>
      </c>
      <c r="L1091" s="844"/>
      <c r="M1091" s="23"/>
      <c r="N1091" s="226"/>
    </row>
    <row r="1092" spans="1:14" ht="18.75" customHeight="1">
      <c r="A1092" s="33" t="s">
        <v>76</v>
      </c>
      <c r="B1092" s="31" t="s">
        <v>77</v>
      </c>
      <c r="C1092" s="840">
        <f>_xlfn.CEILING.MATH((C1091+60*$Z$1),0.1)</f>
        <v>208</v>
      </c>
      <c r="D1092" s="841"/>
      <c r="E1092" s="840">
        <f>_xlfn.CEILING.MATH((E1091+60*$Z$1),0.1)</f>
        <v>286</v>
      </c>
      <c r="F1092" s="841"/>
      <c r="G1092" s="840">
        <f>_xlfn.CEILING.MATH((G1091+60*$Z$1),0.1)</f>
        <v>266.5</v>
      </c>
      <c r="H1092" s="841"/>
      <c r="I1092" s="840">
        <f>_xlfn.CEILING.MATH((I1091+60*$Z$1),0.1)</f>
        <v>292.5</v>
      </c>
      <c r="J1092" s="841"/>
      <c r="K1092" s="840">
        <f>_xlfn.CEILING.MATH((K1091+60*$Z$1),0.1)</f>
        <v>253.5</v>
      </c>
      <c r="L1092" s="841"/>
      <c r="M1092" s="23"/>
      <c r="N1092" s="226"/>
    </row>
    <row r="1093" spans="1:14" ht="19.5" customHeight="1">
      <c r="A1093" s="33"/>
      <c r="B1093" s="14" t="s">
        <v>116</v>
      </c>
      <c r="C1093" s="840">
        <f>CEILING((C1091*0.85),0.1)</f>
        <v>110.5</v>
      </c>
      <c r="D1093" s="841"/>
      <c r="E1093" s="840">
        <f>CEILING((E1091*0.85),0.1)</f>
        <v>176.8</v>
      </c>
      <c r="F1093" s="841"/>
      <c r="G1093" s="840">
        <f>CEILING((G1091*0.85),0.1)</f>
        <v>160.3</v>
      </c>
      <c r="H1093" s="841"/>
      <c r="I1093" s="840">
        <f>CEILING((I1091*0.85),0.1)</f>
        <v>182.4</v>
      </c>
      <c r="J1093" s="841"/>
      <c r="K1093" s="840">
        <f>CEILING((K1091*0.85),0.1)</f>
        <v>149.20000000000002</v>
      </c>
      <c r="L1093" s="844"/>
      <c r="M1093" s="23"/>
      <c r="N1093" s="226"/>
    </row>
    <row r="1094" spans="1:14" ht="17.25" customHeight="1">
      <c r="A1094" s="33"/>
      <c r="B1094" s="31" t="s">
        <v>31</v>
      </c>
      <c r="C1094" s="840">
        <f>_xlfn.CEILING.MATH((C1091+45*$Z$1),0.1)</f>
        <v>188.5</v>
      </c>
      <c r="D1094" s="841"/>
      <c r="E1094" s="840">
        <f>_xlfn.CEILING.MATH((E1091+45*$Z$1),0.1)</f>
        <v>266.5</v>
      </c>
      <c r="F1094" s="841"/>
      <c r="G1094" s="840">
        <f>_xlfn.CEILING.MATH((G1091+45*$Z$1),0.1)</f>
        <v>247</v>
      </c>
      <c r="H1094" s="841"/>
      <c r="I1094" s="840">
        <f>_xlfn.CEILING.MATH((I1091+45*$Z$1),0.1)</f>
        <v>273</v>
      </c>
      <c r="J1094" s="841"/>
      <c r="K1094" s="840">
        <f>_xlfn.CEILING.MATH((K1091+45*$Z$1),0.1)</f>
        <v>234</v>
      </c>
      <c r="L1094" s="841"/>
      <c r="M1094" s="23"/>
      <c r="N1094" s="226"/>
    </row>
    <row r="1095" spans="1:14" ht="18" customHeight="1">
      <c r="A1095" s="33"/>
      <c r="B1095" s="31" t="s">
        <v>32</v>
      </c>
      <c r="C1095" s="840">
        <f>_xlfn.CEILING.MATH((C1094+60*$Z$1),0.1)</f>
        <v>266.5</v>
      </c>
      <c r="D1095" s="841"/>
      <c r="E1095" s="840">
        <f>_xlfn.CEILING.MATH((E1094+60*$Z$1),0.1)</f>
        <v>344.5</v>
      </c>
      <c r="F1095" s="841"/>
      <c r="G1095" s="840">
        <f>_xlfn.CEILING.MATH((G1094+60*$Z$1),0.1)</f>
        <v>325</v>
      </c>
      <c r="H1095" s="841"/>
      <c r="I1095" s="840">
        <f>_xlfn.CEILING.MATH((I1094+60*$Z$1),0.1)</f>
        <v>351</v>
      </c>
      <c r="J1095" s="841"/>
      <c r="K1095" s="840">
        <f>_xlfn.CEILING.MATH((K1094+60*$Z$1),0.1)</f>
        <v>312</v>
      </c>
      <c r="L1095" s="841"/>
      <c r="M1095" s="654"/>
      <c r="N1095" s="76"/>
    </row>
    <row r="1096" spans="1:25" s="724" customFormat="1" ht="18" customHeight="1">
      <c r="A1096" s="33"/>
      <c r="B1096" s="31" t="s">
        <v>661</v>
      </c>
      <c r="C1096" s="840">
        <f>_xlfn.CEILING.MATH((C1091+50*$Z$1),0.1)</f>
        <v>195</v>
      </c>
      <c r="D1096" s="841"/>
      <c r="E1096" s="840">
        <f>_xlfn.CEILING.MATH((E1091+50*$Z$1),0.1)</f>
        <v>273</v>
      </c>
      <c r="F1096" s="841"/>
      <c r="G1096" s="840">
        <f>_xlfn.CEILING.MATH((G1091+50*$Z$1),0.1)</f>
        <v>253.5</v>
      </c>
      <c r="H1096" s="841"/>
      <c r="I1096" s="840">
        <f>_xlfn.CEILING.MATH((I1091+50*$Z$1),0.1)</f>
        <v>279.5</v>
      </c>
      <c r="J1096" s="841"/>
      <c r="K1096" s="840">
        <f>_xlfn.CEILING.MATH((K1091+50*$Z$1),0.1)</f>
        <v>240.5</v>
      </c>
      <c r="L1096" s="841"/>
      <c r="M1096" s="654"/>
      <c r="N1096" s="76"/>
      <c r="O1096" s="244"/>
      <c r="P1096" s="244"/>
      <c r="Q1096" s="244"/>
      <c r="R1096" s="244"/>
      <c r="S1096" s="244"/>
      <c r="T1096" s="244"/>
      <c r="U1096" s="244"/>
      <c r="V1096" s="244"/>
      <c r="W1096" s="244"/>
      <c r="X1096" s="244"/>
      <c r="Y1096" s="244"/>
    </row>
    <row r="1097" spans="1:25" s="724" customFormat="1" ht="18" customHeight="1">
      <c r="A1097" s="33"/>
      <c r="B1097" s="31" t="s">
        <v>662</v>
      </c>
      <c r="C1097" s="840">
        <f>_xlfn.CEILING.MATH((C1096+60*$Z$1),0.1)</f>
        <v>273</v>
      </c>
      <c r="D1097" s="841"/>
      <c r="E1097" s="840">
        <f>_xlfn.CEILING.MATH((E1096+60*$Z$1),0.1)</f>
        <v>351</v>
      </c>
      <c r="F1097" s="841"/>
      <c r="G1097" s="840">
        <f>_xlfn.CEILING.MATH((G1096+60*$Z$1),0.1)</f>
        <v>331.5</v>
      </c>
      <c r="H1097" s="841"/>
      <c r="I1097" s="840">
        <f>_xlfn.CEILING.MATH((I1096+60*$Z$1),0.1)</f>
        <v>357.5</v>
      </c>
      <c r="J1097" s="841"/>
      <c r="K1097" s="840">
        <f>_xlfn.CEILING.MATH((K1096+60*$Z$1),0.1)</f>
        <v>318.5</v>
      </c>
      <c r="L1097" s="841"/>
      <c r="M1097" s="654"/>
      <c r="N1097" s="76"/>
      <c r="O1097" s="244"/>
      <c r="P1097" s="244"/>
      <c r="Q1097" s="244"/>
      <c r="R1097" s="244"/>
      <c r="S1097" s="244"/>
      <c r="T1097" s="244"/>
      <c r="U1097" s="244"/>
      <c r="V1097" s="244"/>
      <c r="W1097" s="244"/>
      <c r="X1097" s="244"/>
      <c r="Y1097" s="244"/>
    </row>
    <row r="1098" spans="1:14" ht="17.25" customHeight="1">
      <c r="A1098" s="463"/>
      <c r="B1098" s="12" t="s">
        <v>471</v>
      </c>
      <c r="C1098" s="840">
        <f>_xlfn.CEILING.MATH((C1091+80*$Z$1),0.1)</f>
        <v>234</v>
      </c>
      <c r="D1098" s="841"/>
      <c r="E1098" s="840">
        <f>_xlfn.CEILING.MATH((E1091+80*$Z$1),0.1)</f>
        <v>312</v>
      </c>
      <c r="F1098" s="841"/>
      <c r="G1098" s="840">
        <f>_xlfn.CEILING.MATH((G1091+80*$Z$1),0.1)</f>
        <v>292.5</v>
      </c>
      <c r="H1098" s="841"/>
      <c r="I1098" s="840">
        <f>_xlfn.CEILING.MATH((I1091+80*$Z$1),0.1)</f>
        <v>318.5</v>
      </c>
      <c r="J1098" s="841"/>
      <c r="K1098" s="840">
        <f>_xlfn.CEILING.MATH((K1091+80*$Z$1),0.1)</f>
        <v>279.5</v>
      </c>
      <c r="L1098" s="841"/>
      <c r="M1098" s="23"/>
      <c r="N1098" s="226"/>
    </row>
    <row r="1099" spans="1:14" ht="17.25" customHeight="1">
      <c r="A1099" s="33"/>
      <c r="B1099" s="12" t="s">
        <v>472</v>
      </c>
      <c r="C1099" s="840">
        <f>_xlfn.CEILING.MATH((C1098+70*$Z$1),0.1)</f>
        <v>325</v>
      </c>
      <c r="D1099" s="841"/>
      <c r="E1099" s="840">
        <f>_xlfn.CEILING.MATH((E1098+70*$Z$1),0.1)</f>
        <v>403</v>
      </c>
      <c r="F1099" s="841"/>
      <c r="G1099" s="840">
        <f>_xlfn.CEILING.MATH((G1098+70*$Z$1),0.1)</f>
        <v>383.5</v>
      </c>
      <c r="H1099" s="841"/>
      <c r="I1099" s="840">
        <f>_xlfn.CEILING.MATH((I1098+70*$Z$1),0.1)</f>
        <v>409.5</v>
      </c>
      <c r="J1099" s="841"/>
      <c r="K1099" s="840">
        <f>_xlfn.CEILING.MATH((K1098+70*$Z$1),0.1)</f>
        <v>370.5</v>
      </c>
      <c r="L1099" s="841"/>
      <c r="M1099" s="23"/>
      <c r="N1099" s="226"/>
    </row>
    <row r="1100" spans="1:14" ht="18.75" customHeight="1">
      <c r="A1100" s="33"/>
      <c r="B1100" s="12" t="s">
        <v>473</v>
      </c>
      <c r="C1100" s="840">
        <f>_xlfn.CEILING.MATH((C1091+100*$Z$1),0.1)</f>
        <v>260</v>
      </c>
      <c r="D1100" s="841"/>
      <c r="E1100" s="840">
        <f>_xlfn.CEILING.MATH((E1091+100*$Z$1),0.1)</f>
        <v>338</v>
      </c>
      <c r="F1100" s="841"/>
      <c r="G1100" s="840">
        <f>_xlfn.CEILING.MATH((G1091+100*$Z$1),0.1)</f>
        <v>318.5</v>
      </c>
      <c r="H1100" s="841"/>
      <c r="I1100" s="840">
        <f>_xlfn.CEILING.MATH((I1091+100*$Z$1),0.1)</f>
        <v>344.5</v>
      </c>
      <c r="J1100" s="841"/>
      <c r="K1100" s="840">
        <f>_xlfn.CEILING.MATH((K1091+100*$Z$1),0.1)</f>
        <v>305.5</v>
      </c>
      <c r="L1100" s="841"/>
      <c r="M1100" s="23"/>
      <c r="N1100" s="226"/>
    </row>
    <row r="1101" spans="1:14" ht="17.25" customHeight="1">
      <c r="A1101" s="33"/>
      <c r="B1101" s="12" t="s">
        <v>474</v>
      </c>
      <c r="C1101" s="840">
        <f>_xlfn.CEILING.MATH((C1100+70*$Z$1),0.1)</f>
        <v>351</v>
      </c>
      <c r="D1101" s="841"/>
      <c r="E1101" s="840">
        <f>_xlfn.CEILING.MATH((E1100+70*$Z$1),0.1)</f>
        <v>429</v>
      </c>
      <c r="F1101" s="841"/>
      <c r="G1101" s="840">
        <f>_xlfn.CEILING.MATH((G1100+70*$Z$1),0.1)</f>
        <v>409.5</v>
      </c>
      <c r="H1101" s="841"/>
      <c r="I1101" s="840">
        <f>_xlfn.CEILING.MATH((I1100+70*$Z$1),0.1)</f>
        <v>435.5</v>
      </c>
      <c r="J1101" s="841"/>
      <c r="K1101" s="840">
        <f>_xlfn.CEILING.MATH((K1100+70*$Z$1),0.1)</f>
        <v>396.5</v>
      </c>
      <c r="L1101" s="841"/>
      <c r="M1101" s="23"/>
      <c r="N1101" s="226"/>
    </row>
    <row r="1102" spans="1:14" ht="19.5" customHeight="1" thickBot="1">
      <c r="A1102" s="391" t="s">
        <v>907</v>
      </c>
      <c r="B1102" s="344" t="s">
        <v>475</v>
      </c>
      <c r="C1102" s="846">
        <f>CEILING(1330*$Z$1,0.1)</f>
        <v>1729</v>
      </c>
      <c r="D1102" s="848"/>
      <c r="E1102" s="846">
        <f>CEILING(1330*$Z$1,0.1)</f>
        <v>1729</v>
      </c>
      <c r="F1102" s="848"/>
      <c r="G1102" s="846">
        <f>CEILING(1330*$Z$1,0.1)</f>
        <v>1729</v>
      </c>
      <c r="H1102" s="848"/>
      <c r="I1102" s="846">
        <f>CEILING(1330*$Z$1,0.1)</f>
        <v>1729</v>
      </c>
      <c r="J1102" s="848"/>
      <c r="K1102" s="846">
        <f>CEILING(1330*$Z$1,0.1)</f>
        <v>1729</v>
      </c>
      <c r="L1102" s="848"/>
      <c r="M1102" s="23"/>
      <c r="N1102" s="22"/>
    </row>
    <row r="1103" spans="1:14" ht="15.75" customHeight="1" thickTop="1">
      <c r="A1103" s="969" t="s">
        <v>283</v>
      </c>
      <c r="B1103" s="970"/>
      <c r="C1103" s="970"/>
      <c r="D1103" s="970"/>
      <c r="E1103" s="970"/>
      <c r="F1103" s="970"/>
      <c r="G1103" s="970"/>
      <c r="H1103" s="970"/>
      <c r="I1103" s="970"/>
      <c r="J1103" s="971"/>
      <c r="K1103" s="502"/>
      <c r="L1103" s="502"/>
      <c r="M1103" s="22"/>
      <c r="N1103" s="22"/>
    </row>
    <row r="1104" spans="1:25" s="724" customFormat="1" ht="15.75" customHeight="1">
      <c r="A1104" s="248" t="s">
        <v>663</v>
      </c>
      <c r="B1104" s="734"/>
      <c r="C1104" s="734"/>
      <c r="D1104" s="734"/>
      <c r="E1104" s="734"/>
      <c r="F1104" s="734"/>
      <c r="G1104" s="734"/>
      <c r="H1104" s="734"/>
      <c r="I1104" s="734"/>
      <c r="J1104" s="734"/>
      <c r="K1104" s="553"/>
      <c r="L1104" s="553"/>
      <c r="M1104" s="581"/>
      <c r="N1104" s="22"/>
      <c r="O1104" s="244"/>
      <c r="P1104" s="244"/>
      <c r="Q1104" s="244"/>
      <c r="R1104" s="244"/>
      <c r="S1104" s="244"/>
      <c r="T1104" s="244"/>
      <c r="U1104" s="244"/>
      <c r="V1104" s="244"/>
      <c r="W1104" s="244"/>
      <c r="X1104" s="244"/>
      <c r="Y1104" s="244"/>
    </row>
    <row r="1105" spans="1:25" s="724" customFormat="1" ht="15.75" customHeight="1">
      <c r="A1105" s="248" t="s">
        <v>664</v>
      </c>
      <c r="B1105" s="734"/>
      <c r="C1105" s="734"/>
      <c r="D1105" s="734"/>
      <c r="E1105" s="734"/>
      <c r="F1105" s="734"/>
      <c r="G1105" s="734"/>
      <c r="H1105" s="734"/>
      <c r="I1105" s="734"/>
      <c r="J1105" s="734"/>
      <c r="K1105" s="553"/>
      <c r="L1105" s="553"/>
      <c r="M1105" s="581"/>
      <c r="N1105" s="22"/>
      <c r="O1105" s="244"/>
      <c r="P1105" s="244"/>
      <c r="Q1105" s="244"/>
      <c r="R1105" s="244"/>
      <c r="S1105" s="244"/>
      <c r="T1105" s="244"/>
      <c r="U1105" s="244"/>
      <c r="V1105" s="244"/>
      <c r="W1105" s="244"/>
      <c r="X1105" s="244"/>
      <c r="Y1105" s="244"/>
    </row>
    <row r="1106" spans="1:14" ht="15.75" customHeight="1" thickBot="1">
      <c r="A1106" s="156"/>
      <c r="B1106" s="157"/>
      <c r="C1106" s="158"/>
      <c r="D1106" s="158"/>
      <c r="E1106" s="158"/>
      <c r="F1106" s="158"/>
      <c r="G1106" s="158"/>
      <c r="H1106" s="158"/>
      <c r="I1106" s="876"/>
      <c r="J1106" s="876"/>
      <c r="K1106" s="128"/>
      <c r="L1106" s="502"/>
      <c r="M1106" s="76"/>
      <c r="N1106" s="76"/>
    </row>
    <row r="1107" spans="1:14" ht="24" customHeight="1" thickTop="1">
      <c r="A1107" s="287" t="s">
        <v>74</v>
      </c>
      <c r="B1107" s="287"/>
      <c r="C1107" s="420" t="s">
        <v>599</v>
      </c>
      <c r="D1107" s="421"/>
      <c r="E1107" s="422" t="s">
        <v>600</v>
      </c>
      <c r="F1107" s="423"/>
      <c r="G1107" s="422" t="s">
        <v>601</v>
      </c>
      <c r="H1107" s="423"/>
      <c r="I1107" s="422" t="s">
        <v>602</v>
      </c>
      <c r="J1107" s="423"/>
      <c r="K1107" s="422" t="s">
        <v>603</v>
      </c>
      <c r="L1107" s="599"/>
      <c r="M1107" s="23"/>
      <c r="N1107" s="226"/>
    </row>
    <row r="1108" spans="1:14" ht="15" customHeight="1">
      <c r="A1108" s="303" t="s">
        <v>195</v>
      </c>
      <c r="B1108" s="45" t="s">
        <v>82</v>
      </c>
      <c r="C1108" s="840">
        <f>CEILING(58*$Z$1,0.1)</f>
        <v>75.4</v>
      </c>
      <c r="D1108" s="844"/>
      <c r="E1108" s="840">
        <f>CEILING(97*$Z$1,0.1)</f>
        <v>126.10000000000001</v>
      </c>
      <c r="F1108" s="844"/>
      <c r="G1108" s="840">
        <f>CEILING(88*$Z$1,0.1)</f>
        <v>114.4</v>
      </c>
      <c r="H1108" s="844"/>
      <c r="I1108" s="840">
        <f>CEILING(95*$Z$1,0.1)</f>
        <v>123.5</v>
      </c>
      <c r="J1108" s="844"/>
      <c r="K1108" s="840">
        <f>CEILING(80*$Z$1,0.1)</f>
        <v>104</v>
      </c>
      <c r="L1108" s="844"/>
      <c r="M1108" s="23"/>
      <c r="N1108" s="226"/>
    </row>
    <row r="1109" spans="1:14" ht="15">
      <c r="A1109" s="262" t="s">
        <v>91</v>
      </c>
      <c r="B1109" s="14" t="s">
        <v>83</v>
      </c>
      <c r="C1109" s="840">
        <f>_xlfn.CEILING.MATH((C1108+25*$Z$1),0.1)</f>
        <v>107.9</v>
      </c>
      <c r="D1109" s="841"/>
      <c r="E1109" s="840">
        <f>_xlfn.CEILING.MATH((E1108+25*$Z$1),0.1)</f>
        <v>158.60000000000002</v>
      </c>
      <c r="F1109" s="841"/>
      <c r="G1109" s="840">
        <f>_xlfn.CEILING.MATH((G1108+25*$Z$1),0.1)</f>
        <v>146.9</v>
      </c>
      <c r="H1109" s="841"/>
      <c r="I1109" s="840">
        <f>_xlfn.CEILING.MATH((I1108+25*$Z$1),0.1)</f>
        <v>156</v>
      </c>
      <c r="J1109" s="841"/>
      <c r="K1109" s="840">
        <f>_xlfn.CEILING.MATH((K1108+25*$Z$1),0.1)</f>
        <v>136.5</v>
      </c>
      <c r="L1109" s="844"/>
      <c r="M1109" s="23"/>
      <c r="N1109" s="226"/>
    </row>
    <row r="1110" spans="1:14" ht="15">
      <c r="A1110" s="339"/>
      <c r="B1110" s="14" t="s">
        <v>116</v>
      </c>
      <c r="C1110" s="840">
        <f>CEILING((C1108*0.85),0.1)</f>
        <v>64.10000000000001</v>
      </c>
      <c r="D1110" s="841"/>
      <c r="E1110" s="840">
        <f>CEILING((E1108*0.85),0.1)</f>
        <v>107.2</v>
      </c>
      <c r="F1110" s="841"/>
      <c r="G1110" s="840">
        <f>CEILING((G1108*0.85),0.1)</f>
        <v>97.30000000000001</v>
      </c>
      <c r="H1110" s="841"/>
      <c r="I1110" s="840">
        <f>CEILING((I1108*0.85),0.1)</f>
        <v>105</v>
      </c>
      <c r="J1110" s="841"/>
      <c r="K1110" s="840">
        <f>CEILING((K1108*0.85),0.1)</f>
        <v>88.4</v>
      </c>
      <c r="L1110" s="844"/>
      <c r="M1110" s="23"/>
      <c r="N1110" s="226"/>
    </row>
    <row r="1111" spans="1:14" ht="15">
      <c r="A1111" s="339"/>
      <c r="B1111" s="205" t="s">
        <v>115</v>
      </c>
      <c r="C1111" s="842">
        <v>0</v>
      </c>
      <c r="D1111" s="843"/>
      <c r="E1111" s="842">
        <v>0</v>
      </c>
      <c r="F1111" s="843"/>
      <c r="G1111" s="842">
        <v>0</v>
      </c>
      <c r="H1111" s="843"/>
      <c r="I1111" s="842">
        <v>0</v>
      </c>
      <c r="J1111" s="843"/>
      <c r="K1111" s="842">
        <v>0</v>
      </c>
      <c r="L1111" s="845"/>
      <c r="M1111" s="23"/>
      <c r="N1111" s="226"/>
    </row>
    <row r="1112" spans="1:14" ht="15">
      <c r="A1112" s="339"/>
      <c r="B1112" s="12" t="s">
        <v>34</v>
      </c>
      <c r="C1112" s="840">
        <f>_xlfn.CEILING.MATH((C1108+10*$Z$1),0.1)</f>
        <v>88.4</v>
      </c>
      <c r="D1112" s="841"/>
      <c r="E1112" s="840">
        <f>_xlfn.CEILING.MATH((E1108+10*$Z$1),0.1)</f>
        <v>139.1</v>
      </c>
      <c r="F1112" s="841"/>
      <c r="G1112" s="840">
        <f>_xlfn.CEILING.MATH((G1108+10*$Z$1),0.1)</f>
        <v>127.4</v>
      </c>
      <c r="H1112" s="841"/>
      <c r="I1112" s="840">
        <f>_xlfn.CEILING.MATH((I1108+10*$Z$1),0.1)</f>
        <v>136.5</v>
      </c>
      <c r="J1112" s="841"/>
      <c r="K1112" s="840">
        <f>_xlfn.CEILING.MATH((K1108+10*$Z$1),0.1)</f>
        <v>117</v>
      </c>
      <c r="L1112" s="841"/>
      <c r="M1112" s="23"/>
      <c r="N1112" s="226"/>
    </row>
    <row r="1113" spans="1:14" ht="15">
      <c r="A1113" s="339"/>
      <c r="B1113" s="12" t="s">
        <v>35</v>
      </c>
      <c r="C1113" s="840">
        <f>_xlfn.CEILING.MATH((C1112+25*$Z$1),0.1)</f>
        <v>120.9</v>
      </c>
      <c r="D1113" s="841"/>
      <c r="E1113" s="840">
        <f>_xlfn.CEILING.MATH((E1112+25*$Z$1),0.1)</f>
        <v>171.60000000000002</v>
      </c>
      <c r="F1113" s="841"/>
      <c r="G1113" s="840">
        <f>_xlfn.CEILING.MATH((G1112+25*$Z$1),0.1)</f>
        <v>159.9</v>
      </c>
      <c r="H1113" s="841"/>
      <c r="I1113" s="840">
        <f>_xlfn.CEILING.MATH((I1112+25*$Z$1),0.1)</f>
        <v>169</v>
      </c>
      <c r="J1113" s="841"/>
      <c r="K1113" s="840">
        <f>_xlfn.CEILING.MATH((K1112+25*$Z$1),0.1)</f>
        <v>149.5</v>
      </c>
      <c r="L1113" s="841"/>
      <c r="M1113" s="18"/>
      <c r="N1113" s="226"/>
    </row>
    <row r="1114" spans="1:14" ht="15">
      <c r="A1114" s="339"/>
      <c r="B1114" s="12" t="s">
        <v>33</v>
      </c>
      <c r="C1114" s="840">
        <f>_xlfn.CEILING.MATH((C1108+20*$Z$1),0.1)</f>
        <v>101.4</v>
      </c>
      <c r="D1114" s="841"/>
      <c r="E1114" s="840">
        <f>_xlfn.CEILING.MATH((E1108+20*$Z$1),0.1)</f>
        <v>152.1</v>
      </c>
      <c r="F1114" s="841"/>
      <c r="G1114" s="840">
        <f>_xlfn.CEILING.MATH((G1108+20*$Z$1),0.1)</f>
        <v>140.4</v>
      </c>
      <c r="H1114" s="841"/>
      <c r="I1114" s="840">
        <f>_xlfn.CEILING.MATH((I1108+20*$Z$1),0.1)</f>
        <v>149.5</v>
      </c>
      <c r="J1114" s="841"/>
      <c r="K1114" s="840">
        <f>_xlfn.CEILING.MATH((K1108+20*$Z$1),0.1)</f>
        <v>130</v>
      </c>
      <c r="L1114" s="841"/>
      <c r="M1114" s="18"/>
      <c r="N1114" s="226"/>
    </row>
    <row r="1115" spans="1:25" s="724" customFormat="1" ht="15">
      <c r="A1115" s="339"/>
      <c r="B1115" s="12" t="s">
        <v>18</v>
      </c>
      <c r="C1115" s="840">
        <f>_xlfn.CEILING.MATH((C1114+25*$Z$1),0.1)</f>
        <v>133.9</v>
      </c>
      <c r="D1115" s="841"/>
      <c r="E1115" s="840">
        <f>_xlfn.CEILING.MATH((E1114+25*$Z$1),0.1)</f>
        <v>184.60000000000002</v>
      </c>
      <c r="F1115" s="841"/>
      <c r="G1115" s="840">
        <f>_xlfn.CEILING.MATH((G1114+25*$Z$1),0.1)</f>
        <v>172.9</v>
      </c>
      <c r="H1115" s="841"/>
      <c r="I1115" s="840">
        <f>_xlfn.CEILING.MATH((I1114+25*$Z$1),0.1)</f>
        <v>182</v>
      </c>
      <c r="J1115" s="841"/>
      <c r="K1115" s="840">
        <f>_xlfn.CEILING.MATH((K1114+25*$Z$1),0.1)</f>
        <v>162.5</v>
      </c>
      <c r="L1115" s="841"/>
      <c r="M1115" s="18"/>
      <c r="N1115" s="226"/>
      <c r="O1115" s="244"/>
      <c r="P1115" s="244"/>
      <c r="Q1115" s="244"/>
      <c r="R1115" s="244"/>
      <c r="S1115" s="244"/>
      <c r="T1115" s="244"/>
      <c r="U1115" s="244"/>
      <c r="V1115" s="244"/>
      <c r="W1115" s="244"/>
      <c r="X1115" s="244"/>
      <c r="Y1115" s="244"/>
    </row>
    <row r="1116" spans="1:14" ht="16.5" thickBot="1">
      <c r="A1116" s="391" t="s">
        <v>907</v>
      </c>
      <c r="B1116" s="49" t="s">
        <v>658</v>
      </c>
      <c r="C1116" s="846">
        <f>CEILING(295*$Z$1,0.1)</f>
        <v>383.5</v>
      </c>
      <c r="D1116" s="848"/>
      <c r="E1116" s="846">
        <f>CEILING(420*$Z$1,0.1)</f>
        <v>546</v>
      </c>
      <c r="F1116" s="848"/>
      <c r="G1116" s="846">
        <f>CEILING(405*$Z$1,0.1)</f>
        <v>526.5</v>
      </c>
      <c r="H1116" s="848"/>
      <c r="I1116" s="846">
        <f>CEILING(405*$Z$1,0.1)</f>
        <v>526.5</v>
      </c>
      <c r="J1116" s="848"/>
      <c r="K1116" s="846">
        <f>CEILING(315*$Z$1,0.1)</f>
        <v>409.5</v>
      </c>
      <c r="L1116" s="848"/>
      <c r="M1116" s="22"/>
      <c r="N1116" s="22"/>
    </row>
    <row r="1117" spans="1:25" s="724" customFormat="1" ht="15.75" thickTop="1">
      <c r="A1117" s="761" t="s">
        <v>660</v>
      </c>
      <c r="B1117" s="51"/>
      <c r="C1117" s="739"/>
      <c r="D1117" s="739"/>
      <c r="E1117" s="739"/>
      <c r="F1117" s="739"/>
      <c r="G1117" s="739"/>
      <c r="H1117" s="739"/>
      <c r="I1117" s="739"/>
      <c r="J1117" s="739"/>
      <c r="K1117" s="739"/>
      <c r="L1117" s="739"/>
      <c r="M1117" s="22"/>
      <c r="N1117" s="22"/>
      <c r="O1117" s="244"/>
      <c r="P1117" s="244"/>
      <c r="Q1117" s="244"/>
      <c r="R1117" s="244"/>
      <c r="S1117" s="244"/>
      <c r="T1117" s="244"/>
      <c r="U1117" s="244"/>
      <c r="V1117" s="244"/>
      <c r="W1117" s="244"/>
      <c r="X1117" s="244"/>
      <c r="Y1117" s="244"/>
    </row>
    <row r="1118" spans="1:25" s="724" customFormat="1" ht="15">
      <c r="A1118" s="248" t="s">
        <v>659</v>
      </c>
      <c r="B1118" s="367"/>
      <c r="C1118" s="729"/>
      <c r="D1118" s="729"/>
      <c r="E1118" s="729"/>
      <c r="F1118" s="729"/>
      <c r="G1118" s="729"/>
      <c r="H1118" s="729"/>
      <c r="I1118" s="729"/>
      <c r="J1118" s="729"/>
      <c r="K1118" s="590"/>
      <c r="L1118" s="590"/>
      <c r="M1118" s="22"/>
      <c r="N1118" s="22"/>
      <c r="O1118" s="244"/>
      <c r="P1118" s="244"/>
      <c r="Q1118" s="244"/>
      <c r="R1118" s="244"/>
      <c r="S1118" s="244"/>
      <c r="T1118" s="244"/>
      <c r="U1118" s="244"/>
      <c r="V1118" s="244"/>
      <c r="W1118" s="244"/>
      <c r="X1118" s="244"/>
      <c r="Y1118" s="244"/>
    </row>
    <row r="1119" spans="1:14" ht="17.25" customHeight="1" thickBot="1">
      <c r="A1119" s="1054"/>
      <c r="B1119" s="1054"/>
      <c r="C1119" s="1054"/>
      <c r="D1119" s="1054"/>
      <c r="E1119" s="1054"/>
      <c r="F1119" s="1054"/>
      <c r="G1119" s="1054"/>
      <c r="H1119" s="1054"/>
      <c r="I1119" s="159"/>
      <c r="J1119" s="159"/>
      <c r="K1119" s="502"/>
      <c r="L1119" s="502"/>
      <c r="M1119" s="22"/>
      <c r="N1119" s="22"/>
    </row>
    <row r="1120" spans="1:14" ht="23.25" customHeight="1" thickTop="1">
      <c r="A1120" s="10" t="s">
        <v>74</v>
      </c>
      <c r="B1120" s="11"/>
      <c r="C1120" s="420" t="s">
        <v>599</v>
      </c>
      <c r="D1120" s="421"/>
      <c r="E1120" s="422" t="s">
        <v>857</v>
      </c>
      <c r="F1120" s="423"/>
      <c r="G1120" s="422" t="s">
        <v>858</v>
      </c>
      <c r="H1120" s="423"/>
      <c r="I1120" s="422" t="s">
        <v>602</v>
      </c>
      <c r="J1120" s="423"/>
      <c r="K1120" s="422" t="s">
        <v>603</v>
      </c>
      <c r="L1120" s="599"/>
      <c r="M1120" s="23"/>
      <c r="N1120" s="22"/>
    </row>
    <row r="1121" spans="1:14" ht="15">
      <c r="A1121" s="132" t="s">
        <v>197</v>
      </c>
      <c r="B1121" s="160" t="s">
        <v>82</v>
      </c>
      <c r="C1121" s="840">
        <f>CEILING(79*$Z$1,0.1)</f>
        <v>102.7</v>
      </c>
      <c r="D1121" s="844"/>
      <c r="E1121" s="840">
        <f>CEILING(94*$Z$1,0.1)</f>
        <v>122.2</v>
      </c>
      <c r="F1121" s="844"/>
      <c r="G1121" s="840">
        <f>CEILING(88*$Z$1,0.1)</f>
        <v>114.4</v>
      </c>
      <c r="H1121" s="844"/>
      <c r="I1121" s="840">
        <f>CEILING(92*$Z$1,0.1)</f>
        <v>119.60000000000001</v>
      </c>
      <c r="J1121" s="844"/>
      <c r="K1121" s="840">
        <f>CEILING(69*$Z$1,0.1)</f>
        <v>89.7</v>
      </c>
      <c r="L1121" s="844"/>
      <c r="M1121" s="23"/>
      <c r="N1121" s="22"/>
    </row>
    <row r="1122" spans="1:14" ht="15">
      <c r="A1122" s="33" t="s">
        <v>76</v>
      </c>
      <c r="B1122" s="160" t="s">
        <v>83</v>
      </c>
      <c r="C1122" s="840">
        <f>_xlfn.CEILING.MATH((C1121+25*$Z$1),0.1)</f>
        <v>135.20000000000002</v>
      </c>
      <c r="D1122" s="841"/>
      <c r="E1122" s="840">
        <f>_xlfn.CEILING.MATH((E1121+25*$Z$1),0.1)</f>
        <v>154.70000000000002</v>
      </c>
      <c r="F1122" s="841"/>
      <c r="G1122" s="840">
        <f>_xlfn.CEILING.MATH((G1121+25*$Z$1),0.1)</f>
        <v>146.9</v>
      </c>
      <c r="H1122" s="841"/>
      <c r="I1122" s="840">
        <f>_xlfn.CEILING.MATH((I1121+25*$Z$1),0.1)</f>
        <v>152.1</v>
      </c>
      <c r="J1122" s="841"/>
      <c r="K1122" s="840">
        <f>_xlfn.CEILING.MATH((K1121+25*$Z$1),0.1)</f>
        <v>122.2</v>
      </c>
      <c r="L1122" s="841"/>
      <c r="M1122" s="22"/>
      <c r="N1122" s="22"/>
    </row>
    <row r="1123" spans="1:14" ht="15">
      <c r="A1123" s="236"/>
      <c r="B1123" s="161" t="s">
        <v>116</v>
      </c>
      <c r="C1123" s="840">
        <f>CEILING((C1121*0.85),0.1)</f>
        <v>87.30000000000001</v>
      </c>
      <c r="D1123" s="841"/>
      <c r="E1123" s="840">
        <f>CEILING((E1121*0.85),0.1)</f>
        <v>103.9</v>
      </c>
      <c r="F1123" s="841"/>
      <c r="G1123" s="840">
        <f>CEILING((G1121*0.85),0.1)</f>
        <v>97.30000000000001</v>
      </c>
      <c r="H1123" s="841"/>
      <c r="I1123" s="840">
        <f>CEILING((I1121*0.85),0.1)</f>
        <v>101.7</v>
      </c>
      <c r="J1123" s="841"/>
      <c r="K1123" s="840">
        <f>CEILING((K1121*0.85),0.1)</f>
        <v>76.3</v>
      </c>
      <c r="L1123" s="841"/>
      <c r="M1123" s="50"/>
      <c r="N1123" s="50"/>
    </row>
    <row r="1124" spans="1:14" ht="15">
      <c r="A1124" s="87"/>
      <c r="B1124" s="205" t="s">
        <v>115</v>
      </c>
      <c r="C1124" s="840">
        <f>CEILING((C1121*0.5),0.1)</f>
        <v>51.400000000000006</v>
      </c>
      <c r="D1124" s="841"/>
      <c r="E1124" s="840">
        <f>CEILING((E1121*0.5),0.1)</f>
        <v>61.1</v>
      </c>
      <c r="F1124" s="841"/>
      <c r="G1124" s="840">
        <f>CEILING((G1121*0.5),0.1)</f>
        <v>57.2</v>
      </c>
      <c r="H1124" s="841"/>
      <c r="I1124" s="840">
        <f>CEILING((I1121*0.5),0.1)</f>
        <v>59.800000000000004</v>
      </c>
      <c r="J1124" s="841"/>
      <c r="K1124" s="840">
        <f>CEILING((K1121*0.5),0.1)</f>
        <v>44.900000000000006</v>
      </c>
      <c r="L1124" s="841"/>
      <c r="M1124" s="50"/>
      <c r="N1124" s="50"/>
    </row>
    <row r="1125" spans="1:14" ht="15">
      <c r="A1125" s="237"/>
      <c r="B1125" s="13" t="s">
        <v>532</v>
      </c>
      <c r="C1125" s="840">
        <f>_xlfn.CEILING.MATH((C1121+10*$Z$1),0.1)</f>
        <v>115.7</v>
      </c>
      <c r="D1125" s="841"/>
      <c r="E1125" s="840">
        <f>_xlfn.CEILING.MATH((E1121+10*$Z$1),0.1)</f>
        <v>135.20000000000002</v>
      </c>
      <c r="F1125" s="841"/>
      <c r="G1125" s="840">
        <f>_xlfn.CEILING.MATH((G1121+10*$Z$1),0.1)</f>
        <v>127.4</v>
      </c>
      <c r="H1125" s="841"/>
      <c r="I1125" s="840">
        <f>_xlfn.CEILING.MATH((I1121+10*$Z$1),0.1)</f>
        <v>132.6</v>
      </c>
      <c r="J1125" s="841"/>
      <c r="K1125" s="840">
        <f>_xlfn.CEILING.MATH((K1121+10*$Z$1),0.1)</f>
        <v>102.7</v>
      </c>
      <c r="L1125" s="841"/>
      <c r="M1125" s="50"/>
      <c r="N1125" s="50"/>
    </row>
    <row r="1126" spans="1:14" ht="15.75" thickBot="1">
      <c r="A1126" s="607" t="s">
        <v>913</v>
      </c>
      <c r="B1126" s="49" t="s">
        <v>111</v>
      </c>
      <c r="C1126" s="846">
        <f>_xlfn.CEILING.MATH((C1125+25*$Z$1),0.1)</f>
        <v>148.20000000000002</v>
      </c>
      <c r="D1126" s="848"/>
      <c r="E1126" s="846">
        <f>_xlfn.CEILING.MATH((E1125+25*$Z$1),0.1)</f>
        <v>167.70000000000002</v>
      </c>
      <c r="F1126" s="848"/>
      <c r="G1126" s="846">
        <f>_xlfn.CEILING.MATH((G1125+25*$Z$1),0.1)</f>
        <v>159.9</v>
      </c>
      <c r="H1126" s="848"/>
      <c r="I1126" s="846">
        <f>_xlfn.CEILING.MATH((I1125+25*$Z$1),0.1)</f>
        <v>165.10000000000002</v>
      </c>
      <c r="J1126" s="848"/>
      <c r="K1126" s="846">
        <f>_xlfn.CEILING.MATH((K1125+25*$Z$1),0.1)</f>
        <v>135.20000000000002</v>
      </c>
      <c r="L1126" s="848"/>
      <c r="M1126" s="50"/>
      <c r="N1126" s="50"/>
    </row>
    <row r="1127" spans="1:14" ht="18" customHeight="1" thickTop="1">
      <c r="A1127" s="144" t="s">
        <v>866</v>
      </c>
      <c r="B1127" s="144"/>
      <c r="C1127" s="144"/>
      <c r="D1127" s="144"/>
      <c r="E1127" s="144"/>
      <c r="F1127" s="144"/>
      <c r="G1127" s="144"/>
      <c r="H1127" s="144"/>
      <c r="I1127" s="144"/>
      <c r="J1127" s="144"/>
      <c r="K1127" s="128"/>
      <c r="L1127" s="128"/>
      <c r="M1127" s="50"/>
      <c r="N1127" s="50"/>
    </row>
    <row r="1128" spans="1:14" ht="15.75" thickBot="1">
      <c r="A1128" s="95"/>
      <c r="B1128" s="162"/>
      <c r="C1128" s="2"/>
      <c r="D1128" s="2"/>
      <c r="E1128" s="2"/>
      <c r="F1128" s="2"/>
      <c r="G1128" s="2"/>
      <c r="H1128" s="2"/>
      <c r="I1128" s="3"/>
      <c r="J1128" s="290"/>
      <c r="K1128" s="128"/>
      <c r="L1128" s="128"/>
      <c r="M1128" s="50"/>
      <c r="N1128" s="50"/>
    </row>
    <row r="1129" spans="1:14" ht="25.5" customHeight="1" thickTop="1">
      <c r="A1129" s="79" t="s">
        <v>74</v>
      </c>
      <c r="B1129" s="366"/>
      <c r="C1129" s="870" t="s">
        <v>665</v>
      </c>
      <c r="D1129" s="871"/>
      <c r="E1129" s="852" t="s">
        <v>669</v>
      </c>
      <c r="F1129" s="853"/>
      <c r="G1129" s="854" t="s">
        <v>668</v>
      </c>
      <c r="H1129" s="855"/>
      <c r="I1129" s="856"/>
      <c r="J1129" s="857"/>
      <c r="K1129" s="128"/>
      <c r="L1129" s="128"/>
      <c r="M1129" s="50"/>
      <c r="N1129" s="50"/>
    </row>
    <row r="1130" spans="1:14" ht="15">
      <c r="A1130" s="103" t="s">
        <v>198</v>
      </c>
      <c r="B1130" s="266" t="s">
        <v>99</v>
      </c>
      <c r="C1130" s="837">
        <f>CEILING(66*$Z$1,0.1)</f>
        <v>85.80000000000001</v>
      </c>
      <c r="D1130" s="838"/>
      <c r="E1130" s="837">
        <f>CEILING(78*$Z$1,0.1)</f>
        <v>101.4</v>
      </c>
      <c r="F1130" s="838"/>
      <c r="G1130" s="837">
        <f>CEILING(66*$Z$1,0.1)</f>
        <v>85.80000000000001</v>
      </c>
      <c r="H1130" s="838"/>
      <c r="I1130" s="842"/>
      <c r="J1130" s="845"/>
      <c r="K1130" s="149"/>
      <c r="L1130" s="128"/>
      <c r="M1130" s="50"/>
      <c r="N1130" s="50"/>
    </row>
    <row r="1131" spans="1:14" ht="15">
      <c r="A1131" s="33" t="s">
        <v>91</v>
      </c>
      <c r="B1131" s="31" t="s">
        <v>28</v>
      </c>
      <c r="C1131" s="840">
        <f>CEILING(81*$Z$1,0.1)</f>
        <v>105.30000000000001</v>
      </c>
      <c r="D1131" s="844"/>
      <c r="E1131" s="840">
        <f>CEILING(93*$Z$1,0.1)</f>
        <v>120.9</v>
      </c>
      <c r="F1131" s="844"/>
      <c r="G1131" s="840">
        <f>CEILING(81*$Z$1,0.1)</f>
        <v>105.30000000000001</v>
      </c>
      <c r="H1131" s="844"/>
      <c r="I1131" s="842"/>
      <c r="J1131" s="845"/>
      <c r="K1131" s="149"/>
      <c r="L1131" s="149"/>
      <c r="M1131" s="50"/>
      <c r="N1131" s="50"/>
    </row>
    <row r="1132" spans="1:14" ht="15">
      <c r="A1132" s="40"/>
      <c r="B1132" s="14" t="s">
        <v>132</v>
      </c>
      <c r="C1132" s="842">
        <v>0</v>
      </c>
      <c r="D1132" s="845"/>
      <c r="E1132" s="842">
        <v>0</v>
      </c>
      <c r="F1132" s="845"/>
      <c r="G1132" s="842">
        <v>0</v>
      </c>
      <c r="H1132" s="845"/>
      <c r="I1132" s="842"/>
      <c r="J1132" s="845"/>
      <c r="K1132" s="149"/>
      <c r="L1132" s="149"/>
      <c r="M1132" s="50"/>
      <c r="N1132" s="50"/>
    </row>
    <row r="1133" spans="1:14" ht="15" customHeight="1">
      <c r="A1133" s="40"/>
      <c r="B1133" s="12" t="s">
        <v>508</v>
      </c>
      <c r="C1133" s="840">
        <f>CEILING(68*$Z$1,0.1)</f>
        <v>88.4</v>
      </c>
      <c r="D1133" s="844"/>
      <c r="E1133" s="840">
        <f>CEILING(80*$Z$1,0.1)</f>
        <v>104</v>
      </c>
      <c r="F1133" s="844"/>
      <c r="G1133" s="840">
        <f>CEILING(68*$Z$1,0.1)</f>
        <v>88.4</v>
      </c>
      <c r="H1133" s="844"/>
      <c r="I1133" s="842"/>
      <c r="J1133" s="845"/>
      <c r="K1133" s="149"/>
      <c r="L1133" s="149"/>
      <c r="M1133" s="50"/>
      <c r="N1133" s="50"/>
    </row>
    <row r="1134" spans="1:14" ht="15.75" customHeight="1">
      <c r="A1134" s="40"/>
      <c r="B1134" s="12" t="s">
        <v>507</v>
      </c>
      <c r="C1134" s="840">
        <f>CEILING(83*$Z$1,0.1)</f>
        <v>107.9</v>
      </c>
      <c r="D1134" s="844"/>
      <c r="E1134" s="840">
        <f>CEILING(95*$Z$1,0.1)</f>
        <v>123.5</v>
      </c>
      <c r="F1134" s="844"/>
      <c r="G1134" s="840">
        <f>CEILING(83*$Z$1,0.1)</f>
        <v>107.9</v>
      </c>
      <c r="H1134" s="844"/>
      <c r="I1134" s="842"/>
      <c r="J1134" s="845"/>
      <c r="K1134" s="149"/>
      <c r="L1134" s="149"/>
      <c r="M1134" s="50"/>
      <c r="N1134" s="50"/>
    </row>
    <row r="1135" spans="1:14" ht="14.25" customHeight="1">
      <c r="A1135" s="40"/>
      <c r="B1135" s="41" t="s">
        <v>506</v>
      </c>
      <c r="C1135" s="840">
        <f>CEILING(54*$Z$1,0.1)</f>
        <v>70.2</v>
      </c>
      <c r="D1135" s="844"/>
      <c r="E1135" s="840">
        <f>CEILING(64*$Z$1,0.1)</f>
        <v>83.2</v>
      </c>
      <c r="F1135" s="844"/>
      <c r="G1135" s="840">
        <f>CEILING(54*$Z$1,0.1)</f>
        <v>70.2</v>
      </c>
      <c r="H1135" s="844"/>
      <c r="I1135" s="636"/>
      <c r="J1135" s="637"/>
      <c r="K1135" s="149"/>
      <c r="L1135" s="149"/>
      <c r="M1135" s="50"/>
      <c r="N1135" s="50"/>
    </row>
    <row r="1136" spans="1:14" ht="15.75" customHeight="1" thickBot="1">
      <c r="A1136" s="105" t="s">
        <v>912</v>
      </c>
      <c r="B1136" s="43" t="s">
        <v>199</v>
      </c>
      <c r="C1136" s="846">
        <f>CEILING(71*$Z$1,0.1)</f>
        <v>92.30000000000001</v>
      </c>
      <c r="D1136" s="847"/>
      <c r="E1136" s="846">
        <f>CEILING(83*$Z$1,0.1)</f>
        <v>107.9</v>
      </c>
      <c r="F1136" s="847"/>
      <c r="G1136" s="846">
        <f>CEILING(71*$Z$1,0.1)</f>
        <v>92.30000000000001</v>
      </c>
      <c r="H1136" s="847"/>
      <c r="I1136" s="842"/>
      <c r="J1136" s="845"/>
      <c r="K1136" s="149"/>
      <c r="L1136" s="149"/>
      <c r="M1136" s="50"/>
      <c r="N1136" s="50"/>
    </row>
    <row r="1137" spans="1:14" ht="17.25" customHeight="1" thickTop="1">
      <c r="A1137" s="634" t="s">
        <v>747</v>
      </c>
      <c r="B1137" s="169"/>
      <c r="C1137" s="637"/>
      <c r="D1137" s="637"/>
      <c r="E1137" s="637"/>
      <c r="F1137" s="637"/>
      <c r="G1137" s="637"/>
      <c r="H1137" s="637"/>
      <c r="I1137" s="637"/>
      <c r="J1137" s="637"/>
      <c r="K1137" s="149"/>
      <c r="L1137" s="149"/>
      <c r="M1137" s="50"/>
      <c r="N1137" s="50"/>
    </row>
    <row r="1138" spans="1:14" ht="15.75" thickBot="1">
      <c r="A1138" s="365"/>
      <c r="B1138" s="84"/>
      <c r="C1138" s="84"/>
      <c r="D1138" s="84"/>
      <c r="E1138" s="84"/>
      <c r="F1138" s="84"/>
      <c r="G1138" s="84"/>
      <c r="H1138" s="84"/>
      <c r="I1138" s="84"/>
      <c r="J1138" s="84"/>
      <c r="K1138" s="149"/>
      <c r="L1138" s="149"/>
      <c r="M1138" s="50"/>
      <c r="N1138" s="50"/>
    </row>
    <row r="1139" spans="1:14" ht="25.5" customHeight="1" thickTop="1">
      <c r="A1139" s="57" t="s">
        <v>74</v>
      </c>
      <c r="B1139" s="207"/>
      <c r="C1139" s="870" t="s">
        <v>665</v>
      </c>
      <c r="D1139" s="871"/>
      <c r="E1139" s="852" t="s">
        <v>716</v>
      </c>
      <c r="F1139" s="853"/>
      <c r="G1139" s="854" t="s">
        <v>721</v>
      </c>
      <c r="H1139" s="930"/>
      <c r="I1139" s="854" t="s">
        <v>668</v>
      </c>
      <c r="J1139" s="855"/>
      <c r="K1139" s="773"/>
      <c r="L1139" s="149"/>
      <c r="M1139" s="50"/>
      <c r="N1139" s="50"/>
    </row>
    <row r="1140" spans="1:14" ht="15">
      <c r="A1140" s="329" t="s">
        <v>37</v>
      </c>
      <c r="B1140" s="384" t="s">
        <v>82</v>
      </c>
      <c r="C1140" s="840">
        <f>CEILING(50*$Z$1,0.1)</f>
        <v>65</v>
      </c>
      <c r="D1140" s="844"/>
      <c r="E1140" s="840">
        <f>CEILING(97*$Z$1,0.1)</f>
        <v>126.10000000000001</v>
      </c>
      <c r="F1140" s="844"/>
      <c r="G1140" s="840">
        <f>CEILING(77*$Z$1,0.1)</f>
        <v>100.10000000000001</v>
      </c>
      <c r="H1140" s="844"/>
      <c r="I1140" s="840">
        <f>CEILING(61*$Z$1,0.1)</f>
        <v>79.30000000000001</v>
      </c>
      <c r="J1140" s="844"/>
      <c r="K1140" s="773"/>
      <c r="L1140" s="149"/>
      <c r="M1140" s="50"/>
      <c r="N1140" s="50"/>
    </row>
    <row r="1141" spans="1:14" ht="15">
      <c r="A1141" s="262" t="s">
        <v>91</v>
      </c>
      <c r="B1141" s="89" t="s">
        <v>83</v>
      </c>
      <c r="C1141" s="840">
        <f>_xlfn.CEILING.MATH((C1140+25*$Z$1),0.1)</f>
        <v>97.5</v>
      </c>
      <c r="D1141" s="841"/>
      <c r="E1141" s="840">
        <f>_xlfn.CEILING.MATH((E1140+25*$Z$1),0.1)</f>
        <v>158.60000000000002</v>
      </c>
      <c r="F1141" s="841"/>
      <c r="G1141" s="840">
        <f>_xlfn.CEILING.MATH((G1140+25*$Z$1),0.1)</f>
        <v>132.6</v>
      </c>
      <c r="H1141" s="841"/>
      <c r="I1141" s="840">
        <f>_xlfn.CEILING.MATH((I1140+25*$Z$1),0.1)</f>
        <v>111.80000000000001</v>
      </c>
      <c r="J1141" s="844"/>
      <c r="K1141" s="773"/>
      <c r="L1141" s="149"/>
      <c r="M1141" s="50"/>
      <c r="N1141" s="50"/>
    </row>
    <row r="1142" spans="1:14" ht="15">
      <c r="A1142" s="464"/>
      <c r="B1142" s="14" t="s">
        <v>116</v>
      </c>
      <c r="C1142" s="840">
        <f>CEILING((C1140*0.85),0.1)</f>
        <v>55.300000000000004</v>
      </c>
      <c r="D1142" s="841"/>
      <c r="E1142" s="840">
        <f>CEILING((E1140*0.85),0.1)</f>
        <v>107.2</v>
      </c>
      <c r="F1142" s="841"/>
      <c r="G1142" s="840">
        <f>CEILING((G1140*0.85),0.1)</f>
        <v>85.10000000000001</v>
      </c>
      <c r="H1142" s="841"/>
      <c r="I1142" s="840">
        <f>CEILING((I1140*0.85),0.1)</f>
        <v>67.5</v>
      </c>
      <c r="J1142" s="844"/>
      <c r="K1142" s="773"/>
      <c r="L1142" s="149"/>
      <c r="M1142" s="50"/>
      <c r="N1142" s="50"/>
    </row>
    <row r="1143" spans="1:14" ht="15">
      <c r="A1143" s="385"/>
      <c r="B1143" s="205" t="s">
        <v>115</v>
      </c>
      <c r="C1143" s="840">
        <f>CEILING((C1140*0.5),0.1)</f>
        <v>32.5</v>
      </c>
      <c r="D1143" s="841"/>
      <c r="E1143" s="840">
        <f>CEILING((E1140*0.5),0.1)</f>
        <v>63.1</v>
      </c>
      <c r="F1143" s="841"/>
      <c r="G1143" s="840">
        <f>CEILING((G1140*0.5),0.1)</f>
        <v>50.1</v>
      </c>
      <c r="H1143" s="841"/>
      <c r="I1143" s="840">
        <f>CEILING((I1140*0.5),0.1)</f>
        <v>39.7</v>
      </c>
      <c r="J1143" s="841"/>
      <c r="K1143" s="149"/>
      <c r="L1143" s="149"/>
      <c r="M1143" s="50"/>
      <c r="N1143" s="50"/>
    </row>
    <row r="1144" spans="1:14" ht="15" customHeight="1">
      <c r="A1144" s="385"/>
      <c r="B1144" s="205" t="s">
        <v>88</v>
      </c>
      <c r="C1144" s="840">
        <f>_xlfn.CEILING.MATH((C1140+40*$Z$1),0.1)</f>
        <v>117</v>
      </c>
      <c r="D1144" s="841"/>
      <c r="E1144" s="840">
        <f>_xlfn.CEILING.MATH((E1140+40*$Z$1),0.1)</f>
        <v>178.10000000000002</v>
      </c>
      <c r="F1144" s="841"/>
      <c r="G1144" s="840">
        <f>_xlfn.CEILING.MATH((G1140+40*$Z$1),0.1)</f>
        <v>152.1</v>
      </c>
      <c r="H1144" s="841"/>
      <c r="I1144" s="840">
        <f>_xlfn.CEILING.MATH((I1140+40*$Z$1),0.1)</f>
        <v>131.3</v>
      </c>
      <c r="J1144" s="841"/>
      <c r="K1144" s="149"/>
      <c r="L1144" s="149"/>
      <c r="M1144" s="18"/>
      <c r="N1144" s="226"/>
    </row>
    <row r="1145" spans="1:14" ht="16.5" customHeight="1" thickBot="1">
      <c r="A1145" s="398" t="s">
        <v>911</v>
      </c>
      <c r="B1145" s="457" t="s">
        <v>89</v>
      </c>
      <c r="C1145" s="846">
        <f>_xlfn.CEILING.MATH((C1144+40*$Z$1),0.1)</f>
        <v>169</v>
      </c>
      <c r="D1145" s="848"/>
      <c r="E1145" s="846">
        <f>_xlfn.CEILING.MATH((E1144+40*$Z$1),0.1)</f>
        <v>230.10000000000002</v>
      </c>
      <c r="F1145" s="848"/>
      <c r="G1145" s="846">
        <f>_xlfn.CEILING.MATH((G1144+40*$Z$1),0.1)</f>
        <v>204.10000000000002</v>
      </c>
      <c r="H1145" s="848"/>
      <c r="I1145" s="846">
        <f>_xlfn.CEILING.MATH((I1144+40*$Z$1),0.1)</f>
        <v>183.3</v>
      </c>
      <c r="J1145" s="848"/>
      <c r="K1145" s="149"/>
      <c r="L1145" s="149"/>
      <c r="M1145" s="18"/>
      <c r="N1145" s="226"/>
    </row>
    <row r="1146" spans="1:14" ht="23.25" customHeight="1" thickBot="1" thickTop="1">
      <c r="A1146" s="365"/>
      <c r="B1146" s="84"/>
      <c r="C1146" s="84"/>
      <c r="D1146" s="84"/>
      <c r="E1146" s="84"/>
      <c r="F1146" s="84"/>
      <c r="G1146" s="84"/>
      <c r="H1146" s="84"/>
      <c r="I1146" s="35"/>
      <c r="J1146" s="290"/>
      <c r="K1146" s="149"/>
      <c r="L1146" s="149"/>
      <c r="M1146" s="18"/>
      <c r="N1146" s="226"/>
    </row>
    <row r="1147" spans="1:14" ht="24.75" customHeight="1" thickTop="1">
      <c r="A1147" s="79" t="s">
        <v>74</v>
      </c>
      <c r="B1147" s="366"/>
      <c r="C1147" s="870" t="s">
        <v>665</v>
      </c>
      <c r="D1147" s="871"/>
      <c r="E1147" s="852" t="s">
        <v>669</v>
      </c>
      <c r="F1147" s="853"/>
      <c r="G1147" s="854" t="s">
        <v>668</v>
      </c>
      <c r="H1147" s="855"/>
      <c r="I1147" s="856"/>
      <c r="J1147" s="857"/>
      <c r="K1147" s="149"/>
      <c r="L1147" s="149"/>
      <c r="M1147" s="18"/>
      <c r="N1147" s="226"/>
    </row>
    <row r="1148" spans="1:14" ht="15.75" customHeight="1">
      <c r="A1148" s="103" t="s">
        <v>200</v>
      </c>
      <c r="B1148" s="266" t="s">
        <v>201</v>
      </c>
      <c r="C1148" s="837">
        <f>CEILING(37.5*$Z$1,0.1)</f>
        <v>48.800000000000004</v>
      </c>
      <c r="D1148" s="838"/>
      <c r="E1148" s="837">
        <f>CEILING(46*$Z$1,0.1)</f>
        <v>59.800000000000004</v>
      </c>
      <c r="F1148" s="838"/>
      <c r="G1148" s="837">
        <f>CEILING(37.5*$Z$1,0.1)</f>
        <v>48.800000000000004</v>
      </c>
      <c r="H1148" s="838"/>
      <c r="I1148" s="842"/>
      <c r="J1148" s="845"/>
      <c r="K1148" s="149"/>
      <c r="L1148" s="149"/>
      <c r="M1148" s="22"/>
      <c r="N1148" s="22"/>
    </row>
    <row r="1149" spans="1:14" ht="14.25" customHeight="1">
      <c r="A1149" s="81"/>
      <c r="B1149" s="31" t="s">
        <v>202</v>
      </c>
      <c r="C1149" s="840">
        <f>CEILING(50*$Z$1,0.1)</f>
        <v>65</v>
      </c>
      <c r="D1149" s="844"/>
      <c r="E1149" s="840">
        <f>CEILING(58*$Z$1,0.1)</f>
        <v>75.4</v>
      </c>
      <c r="F1149" s="844"/>
      <c r="G1149" s="840">
        <f>CEILING(50*$Z$1,0.1)</f>
        <v>65</v>
      </c>
      <c r="H1149" s="844"/>
      <c r="I1149" s="842"/>
      <c r="J1149" s="845"/>
      <c r="K1149" s="149"/>
      <c r="L1149" s="149"/>
      <c r="M1149" s="76"/>
      <c r="N1149" s="76"/>
    </row>
    <row r="1150" spans="1:16" ht="16.5" customHeight="1">
      <c r="A1150" s="33" t="s">
        <v>130</v>
      </c>
      <c r="B1150" s="14" t="s">
        <v>132</v>
      </c>
      <c r="C1150" s="842">
        <v>0</v>
      </c>
      <c r="D1150" s="845"/>
      <c r="E1150" s="842">
        <v>0</v>
      </c>
      <c r="F1150" s="845"/>
      <c r="G1150" s="842">
        <v>0</v>
      </c>
      <c r="H1150" s="845"/>
      <c r="I1150" s="842"/>
      <c r="J1150" s="845"/>
      <c r="K1150" s="550"/>
      <c r="L1150" s="550"/>
      <c r="M1150" s="551"/>
      <c r="N1150" s="551"/>
      <c r="O1150" s="551"/>
      <c r="P1150" s="551"/>
    </row>
    <row r="1151" spans="1:16" ht="15">
      <c r="A1151" s="40"/>
      <c r="B1151" s="12" t="s">
        <v>157</v>
      </c>
      <c r="C1151" s="840">
        <f>CEILING(40.5*$Z$1,0.1)</f>
        <v>52.7</v>
      </c>
      <c r="D1151" s="844"/>
      <c r="E1151" s="840">
        <f>CEILING(50*$Z$1,0.1)</f>
        <v>65</v>
      </c>
      <c r="F1151" s="844"/>
      <c r="G1151" s="840">
        <f>CEILING(40.5*$Z$1,0.1)</f>
        <v>52.7</v>
      </c>
      <c r="H1151" s="844"/>
      <c r="I1151" s="842"/>
      <c r="J1151" s="845"/>
      <c r="K1151" s="552"/>
      <c r="L1151" s="550"/>
      <c r="M1151" s="551"/>
      <c r="N1151" s="551"/>
      <c r="O1151" s="551"/>
      <c r="P1151" s="551"/>
    </row>
    <row r="1152" spans="1:16" ht="16.5" customHeight="1">
      <c r="A1152" s="40"/>
      <c r="B1152" s="12" t="s">
        <v>158</v>
      </c>
      <c r="C1152" s="840">
        <f>CEILING(51*$Z$1,0.1)</f>
        <v>66.3</v>
      </c>
      <c r="D1152" s="844"/>
      <c r="E1152" s="840">
        <f>CEILING(60*$Z$1,0.1)</f>
        <v>78</v>
      </c>
      <c r="F1152" s="844"/>
      <c r="G1152" s="840">
        <f>CEILING(51*$Z$1,0.1)</f>
        <v>66.3</v>
      </c>
      <c r="H1152" s="844"/>
      <c r="I1152" s="842"/>
      <c r="J1152" s="845"/>
      <c r="K1152" s="552"/>
      <c r="L1152" s="552"/>
      <c r="M1152" s="551"/>
      <c r="N1152" s="551"/>
      <c r="O1152" s="551"/>
      <c r="P1152" s="551"/>
    </row>
    <row r="1153" spans="1:16" ht="15.75" customHeight="1">
      <c r="A1153" s="40"/>
      <c r="B1153" s="41" t="s">
        <v>347</v>
      </c>
      <c r="C1153" s="840">
        <f>CEILING(34*$Z$1,0.1)</f>
        <v>44.2</v>
      </c>
      <c r="D1153" s="844"/>
      <c r="E1153" s="840">
        <f>CEILING(43*$Z$1,0.1)</f>
        <v>55.900000000000006</v>
      </c>
      <c r="F1153" s="844"/>
      <c r="G1153" s="840">
        <f>CEILING(34*$Z$1,0.1)</f>
        <v>44.2</v>
      </c>
      <c r="H1153" s="844"/>
      <c r="I1153" s="842"/>
      <c r="J1153" s="845"/>
      <c r="K1153" s="552"/>
      <c r="L1153" s="553"/>
      <c r="M1153" s="551"/>
      <c r="N1153" s="551"/>
      <c r="O1153" s="551"/>
      <c r="P1153" s="551"/>
    </row>
    <row r="1154" spans="1:16" ht="15.75" thickBot="1">
      <c r="A1154" s="105" t="s">
        <v>910</v>
      </c>
      <c r="B1154" s="152" t="s">
        <v>199</v>
      </c>
      <c r="C1154" s="846">
        <f>CEILING(71*$Z$1,0.1)</f>
        <v>92.30000000000001</v>
      </c>
      <c r="D1154" s="847"/>
      <c r="E1154" s="846">
        <f>CEILING(83*$Z$1,0.1)</f>
        <v>107.9</v>
      </c>
      <c r="F1154" s="847"/>
      <c r="G1154" s="846">
        <f>CEILING(71*$Z$1,0.1)</f>
        <v>92.30000000000001</v>
      </c>
      <c r="H1154" s="847"/>
      <c r="I1154" s="842"/>
      <c r="J1154" s="845"/>
      <c r="K1154" s="552"/>
      <c r="L1154" s="553"/>
      <c r="M1154" s="551"/>
      <c r="N1154" s="551"/>
      <c r="O1154" s="551"/>
      <c r="P1154" s="551"/>
    </row>
    <row r="1155" spans="1:16" ht="18" customHeight="1" thickTop="1">
      <c r="A1155" s="634" t="s">
        <v>749</v>
      </c>
      <c r="B1155" s="51"/>
      <c r="C1155" s="637"/>
      <c r="D1155" s="637"/>
      <c r="E1155" s="637"/>
      <c r="F1155" s="637"/>
      <c r="G1155" s="637"/>
      <c r="H1155" s="637"/>
      <c r="I1155" s="637"/>
      <c r="J1155" s="637"/>
      <c r="K1155" s="552"/>
      <c r="L1155" s="553"/>
      <c r="M1155" s="551"/>
      <c r="N1155" s="551"/>
      <c r="O1155" s="551"/>
      <c r="P1155" s="551"/>
    </row>
    <row r="1156" spans="1:16" ht="15">
      <c r="A1156" s="127"/>
      <c r="B1156" s="127"/>
      <c r="C1156" s="127"/>
      <c r="D1156" s="127"/>
      <c r="E1156" s="127"/>
      <c r="F1156" s="127"/>
      <c r="G1156" s="127"/>
      <c r="H1156" s="127"/>
      <c r="I1156" s="127"/>
      <c r="J1156" s="214"/>
      <c r="K1156" s="552"/>
      <c r="L1156" s="553"/>
      <c r="M1156" s="551"/>
      <c r="N1156" s="551"/>
      <c r="O1156" s="551"/>
      <c r="P1156" s="551"/>
    </row>
    <row r="1157" spans="1:16" ht="15.75" customHeight="1">
      <c r="A1157" s="929" t="s">
        <v>703</v>
      </c>
      <c r="B1157" s="929"/>
      <c r="C1157" s="929"/>
      <c r="D1157" s="929"/>
      <c r="E1157" s="929"/>
      <c r="F1157" s="929"/>
      <c r="G1157" s="929"/>
      <c r="H1157" s="929"/>
      <c r="I1157" s="929"/>
      <c r="J1157" s="929"/>
      <c r="K1157" s="552"/>
      <c r="L1157" s="552"/>
      <c r="M1157" s="551"/>
      <c r="N1157" s="551"/>
      <c r="O1157" s="551"/>
      <c r="P1157" s="551"/>
    </row>
    <row r="1158" spans="1:25" s="724" customFormat="1" ht="16.5" customHeight="1">
      <c r="A1158" s="929" t="s">
        <v>704</v>
      </c>
      <c r="B1158" s="929"/>
      <c r="C1158" s="929"/>
      <c r="D1158" s="929"/>
      <c r="E1158" s="929"/>
      <c r="F1158" s="929"/>
      <c r="G1158" s="929"/>
      <c r="H1158" s="929"/>
      <c r="I1158" s="929"/>
      <c r="J1158" s="929"/>
      <c r="K1158" s="552"/>
      <c r="L1158" s="552"/>
      <c r="M1158" s="551"/>
      <c r="N1158" s="551"/>
      <c r="O1158" s="551"/>
      <c r="P1158" s="551"/>
      <c r="Q1158" s="244"/>
      <c r="R1158" s="244"/>
      <c r="S1158" s="244"/>
      <c r="T1158" s="244"/>
      <c r="U1158" s="244"/>
      <c r="V1158" s="244"/>
      <c r="W1158" s="244"/>
      <c r="X1158" s="244"/>
      <c r="Y1158" s="244"/>
    </row>
    <row r="1159" spans="1:16" ht="15">
      <c r="A1159" s="1005" t="s">
        <v>568</v>
      </c>
      <c r="B1159" s="1005"/>
      <c r="C1159" s="1005"/>
      <c r="D1159" s="1005"/>
      <c r="E1159" s="1005"/>
      <c r="F1159" s="1005"/>
      <c r="G1159" s="1005"/>
      <c r="H1159" s="1005"/>
      <c r="I1159" s="1005"/>
      <c r="J1159" s="1005"/>
      <c r="K1159" s="552"/>
      <c r="L1159" s="552"/>
      <c r="M1159" s="551"/>
      <c r="N1159" s="551"/>
      <c r="O1159" s="551"/>
      <c r="P1159" s="551"/>
    </row>
    <row r="1160" spans="1:16" ht="16.5" customHeight="1">
      <c r="A1160" s="929" t="s">
        <v>973</v>
      </c>
      <c r="B1160" s="929"/>
      <c r="C1160" s="929"/>
      <c r="D1160" s="929"/>
      <c r="E1160" s="929"/>
      <c r="F1160" s="929"/>
      <c r="G1160" s="929"/>
      <c r="H1160" s="929"/>
      <c r="I1160" s="929"/>
      <c r="J1160" s="929"/>
      <c r="K1160" s="552"/>
      <c r="L1160" s="553"/>
      <c r="M1160" s="551"/>
      <c r="N1160" s="551"/>
      <c r="O1160" s="551"/>
      <c r="P1160" s="551"/>
    </row>
    <row r="1161" spans="1:16" ht="15">
      <c r="A1161" s="164"/>
      <c r="B1161" s="164"/>
      <c r="C1161" s="164"/>
      <c r="D1161" s="164"/>
      <c r="E1161" s="164"/>
      <c r="F1161" s="164"/>
      <c r="G1161" s="165"/>
      <c r="H1161" s="165"/>
      <c r="I1161" s="163"/>
      <c r="J1161" s="36"/>
      <c r="K1161" s="552"/>
      <c r="L1161" s="553"/>
      <c r="M1161" s="551"/>
      <c r="N1161" s="551"/>
      <c r="O1161" s="551"/>
      <c r="P1161" s="551"/>
    </row>
    <row r="1162" spans="1:16" ht="15.75">
      <c r="A1162" s="166"/>
      <c r="B1162" s="165"/>
      <c r="C1162" s="165"/>
      <c r="D1162" s="165"/>
      <c r="E1162" s="165"/>
      <c r="F1162" s="165"/>
      <c r="G1162" s="165"/>
      <c r="H1162" s="165"/>
      <c r="I1162" s="163"/>
      <c r="J1162" s="291"/>
      <c r="K1162" s="554"/>
      <c r="L1162" s="555"/>
      <c r="M1162" s="551"/>
      <c r="N1162" s="551"/>
      <c r="O1162" s="551"/>
      <c r="P1162" s="551"/>
    </row>
    <row r="1163" spans="1:16" ht="15.75">
      <c r="A1163" s="1015" t="s">
        <v>573</v>
      </c>
      <c r="B1163" s="1015"/>
      <c r="C1163" s="1015"/>
      <c r="D1163" s="1015"/>
      <c r="E1163" s="1015"/>
      <c r="F1163" s="1015"/>
      <c r="G1163" s="1015"/>
      <c r="H1163" s="1015"/>
      <c r="I1163" s="1015"/>
      <c r="J1163" s="1015"/>
      <c r="K1163" s="552"/>
      <c r="L1163" s="553"/>
      <c r="M1163" s="551"/>
      <c r="N1163" s="551"/>
      <c r="O1163" s="551"/>
      <c r="P1163" s="551"/>
    </row>
    <row r="1164" spans="1:16" ht="15.75" thickBot="1">
      <c r="A1164" s="147"/>
      <c r="B1164" s="147"/>
      <c r="C1164" s="147"/>
      <c r="D1164" s="147"/>
      <c r="E1164" s="147"/>
      <c r="F1164" s="147"/>
      <c r="G1164" s="147"/>
      <c r="H1164" s="147"/>
      <c r="I1164" s="148"/>
      <c r="J1164" s="290"/>
      <c r="K1164" s="552"/>
      <c r="L1164" s="553"/>
      <c r="M1164" s="551"/>
      <c r="N1164" s="551"/>
      <c r="O1164" s="551"/>
      <c r="P1164" s="551"/>
    </row>
    <row r="1165" spans="1:14" ht="15.75" thickTop="1">
      <c r="A1165" s="974" t="s">
        <v>74</v>
      </c>
      <c r="B1165" s="58"/>
      <c r="C1165" s="863" t="s">
        <v>682</v>
      </c>
      <c r="D1165" s="953"/>
      <c r="E1165" s="863" t="s">
        <v>683</v>
      </c>
      <c r="F1165" s="953"/>
      <c r="G1165" s="863" t="s">
        <v>666</v>
      </c>
      <c r="H1165" s="953"/>
      <c r="I1165" s="863" t="s">
        <v>667</v>
      </c>
      <c r="J1165" s="864"/>
      <c r="K1165" s="863" t="s">
        <v>668</v>
      </c>
      <c r="L1165" s="864"/>
      <c r="M1165" s="878"/>
      <c r="N1165" s="877"/>
    </row>
    <row r="1166" spans="1:14" ht="15">
      <c r="A1166" s="975"/>
      <c r="B1166" s="138"/>
      <c r="C1166" s="124" t="s">
        <v>144</v>
      </c>
      <c r="D1166" s="124" t="s">
        <v>146</v>
      </c>
      <c r="E1166" s="124" t="s">
        <v>144</v>
      </c>
      <c r="F1166" s="124" t="s">
        <v>203</v>
      </c>
      <c r="G1166" s="124" t="s">
        <v>144</v>
      </c>
      <c r="H1166" s="125" t="s">
        <v>146</v>
      </c>
      <c r="I1166" s="124" t="s">
        <v>144</v>
      </c>
      <c r="J1166" s="125" t="s">
        <v>146</v>
      </c>
      <c r="K1166" s="124" t="s">
        <v>144</v>
      </c>
      <c r="L1166" s="125" t="s">
        <v>146</v>
      </c>
      <c r="M1166" s="596"/>
      <c r="N1166" s="593"/>
    </row>
    <row r="1167" spans="1:14" ht="16.5" customHeight="1">
      <c r="A1167" s="346" t="s">
        <v>204</v>
      </c>
      <c r="B1167" s="171" t="s">
        <v>431</v>
      </c>
      <c r="C1167" s="744">
        <f>CEILING(80*$Z$1,0.1)</f>
        <v>104</v>
      </c>
      <c r="D1167" s="744">
        <f>_xlfn.CEILING.MATH((C1167+19*$Z$1),0.1)</f>
        <v>128.70000000000002</v>
      </c>
      <c r="E1167" s="744">
        <f>CEILING(70*$Z$1,0.1)</f>
        <v>91</v>
      </c>
      <c r="F1167" s="744">
        <f>_xlfn.CEILING.MATH((E1167+19*$Z$1),0.1)</f>
        <v>115.7</v>
      </c>
      <c r="G1167" s="744">
        <f>CEILING(90*$Z$1,0.1)</f>
        <v>117</v>
      </c>
      <c r="H1167" s="744">
        <f>_xlfn.CEILING.MATH((G1167+19*$Z$1),0.1)</f>
        <v>141.70000000000002</v>
      </c>
      <c r="I1167" s="744">
        <f>CEILING(85*$Z$1,0.1)</f>
        <v>110.5</v>
      </c>
      <c r="J1167" s="744">
        <f>_xlfn.CEILING.MATH((I1167+19*$Z$1),0.1)</f>
        <v>135.20000000000002</v>
      </c>
      <c r="K1167" s="744">
        <f>CEILING(75*$Z$1,0.1)</f>
        <v>97.5</v>
      </c>
      <c r="L1167" s="744">
        <f>_xlfn.CEILING.MATH((K1167+19*$Z$1),0.1)</f>
        <v>122.2</v>
      </c>
      <c r="M1167" s="728"/>
      <c r="N1167" s="729"/>
    </row>
    <row r="1168" spans="1:14" ht="18" customHeight="1">
      <c r="A1168" s="40" t="s">
        <v>76</v>
      </c>
      <c r="B1168" s="12" t="s">
        <v>432</v>
      </c>
      <c r="C1168" s="744">
        <f>_xlfn.CEILING.MATH((C1167+60*$Z$1),0.1)</f>
        <v>182</v>
      </c>
      <c r="D1168" s="762">
        <f>_xlfn.CEILING.MATH((C1168+19*$Z$1),0.1)</f>
        <v>206.70000000000002</v>
      </c>
      <c r="E1168" s="744">
        <f>_xlfn.CEILING.MATH((E1167+60*$Z$1),0.1)</f>
        <v>169</v>
      </c>
      <c r="F1168" s="762">
        <f>_xlfn.CEILING.MATH((E1168+19*$Z$1),0.1)</f>
        <v>193.70000000000002</v>
      </c>
      <c r="G1168" s="744">
        <f>_xlfn.CEILING.MATH((G1167+60*$Z$1),0.1)</f>
        <v>195</v>
      </c>
      <c r="H1168" s="762">
        <f>_xlfn.CEILING.MATH((G1168+19*$Z$1),0.1)</f>
        <v>219.70000000000002</v>
      </c>
      <c r="I1168" s="744">
        <f>_xlfn.CEILING.MATH((I1167+60*$Z$1),0.1)</f>
        <v>188.5</v>
      </c>
      <c r="J1168" s="762">
        <f>_xlfn.CEILING.MATH((I1168+19*$Z$1),0.1)</f>
        <v>213.20000000000002</v>
      </c>
      <c r="K1168" s="744">
        <f>_xlfn.CEILING.MATH((K1167+60*$Z$1),0.1)</f>
        <v>175.5</v>
      </c>
      <c r="L1168" s="762">
        <f>_xlfn.CEILING.MATH((K1168+19*$Z$1),0.1)</f>
        <v>200.20000000000002</v>
      </c>
      <c r="M1168" s="729"/>
      <c r="N1168" s="589"/>
    </row>
    <row r="1169" spans="1:14" ht="18" customHeight="1">
      <c r="A1169" s="40"/>
      <c r="B1169" s="161" t="s">
        <v>116</v>
      </c>
      <c r="C1169" s="744">
        <f>CEILING((C1167*0.85),0.1)</f>
        <v>88.4</v>
      </c>
      <c r="D1169" s="762">
        <f>_xlfn.CEILING.MATH((C1169+19*$Z$1),0.1)</f>
        <v>113.10000000000001</v>
      </c>
      <c r="E1169" s="744">
        <f>CEILING((E1167*0.85),0.1)</f>
        <v>77.4</v>
      </c>
      <c r="F1169" s="762">
        <f>_xlfn.CEILING.MATH((E1169+19*$Z$1),0.1)</f>
        <v>102.10000000000001</v>
      </c>
      <c r="G1169" s="744">
        <f>CEILING((G1167*0.85),0.1)</f>
        <v>99.5</v>
      </c>
      <c r="H1169" s="762">
        <f>_xlfn.CEILING.MATH((G1169+19*$Z$1),0.1)</f>
        <v>124.2</v>
      </c>
      <c r="I1169" s="744">
        <f>CEILING((I1167*0.85),0.1)</f>
        <v>94</v>
      </c>
      <c r="J1169" s="762">
        <f>_xlfn.CEILING.MATH((I1169+19*$Z$1),0.1)</f>
        <v>118.7</v>
      </c>
      <c r="K1169" s="744">
        <f>CEILING((K1167*0.85),0.1)</f>
        <v>82.9</v>
      </c>
      <c r="L1169" s="762">
        <f>_xlfn.CEILING.MATH((K1169+19*$Z$1),0.1)</f>
        <v>107.60000000000001</v>
      </c>
      <c r="M1169" s="729"/>
      <c r="N1169" s="589"/>
    </row>
    <row r="1170" spans="1:14" ht="15.75" customHeight="1" thickBot="1">
      <c r="A1170" s="391" t="s">
        <v>909</v>
      </c>
      <c r="B1170" s="457" t="s">
        <v>115</v>
      </c>
      <c r="C1170" s="751">
        <f aca="true" t="shared" si="3" ref="C1170:L1170">CEILING((C1167*0.5),0.1)</f>
        <v>52</v>
      </c>
      <c r="D1170" s="763">
        <f t="shared" si="3"/>
        <v>64.4</v>
      </c>
      <c r="E1170" s="751">
        <f t="shared" si="3"/>
        <v>45.5</v>
      </c>
      <c r="F1170" s="763">
        <f t="shared" si="3"/>
        <v>57.900000000000006</v>
      </c>
      <c r="G1170" s="751">
        <f t="shared" si="3"/>
        <v>58.5</v>
      </c>
      <c r="H1170" s="763">
        <f t="shared" si="3"/>
        <v>70.9</v>
      </c>
      <c r="I1170" s="751">
        <f t="shared" si="3"/>
        <v>55.300000000000004</v>
      </c>
      <c r="J1170" s="763">
        <f t="shared" si="3"/>
        <v>67.60000000000001</v>
      </c>
      <c r="K1170" s="751">
        <f t="shared" si="3"/>
        <v>48.800000000000004</v>
      </c>
      <c r="L1170" s="763">
        <f t="shared" si="3"/>
        <v>61.1</v>
      </c>
      <c r="M1170" s="729"/>
      <c r="N1170" s="589"/>
    </row>
    <row r="1171" spans="1:14" ht="15.75" thickTop="1">
      <c r="A1171" s="144" t="s">
        <v>670</v>
      </c>
      <c r="B1171" s="467"/>
      <c r="C1171" s="467"/>
      <c r="D1171" s="467"/>
      <c r="E1171" s="467"/>
      <c r="F1171" s="467"/>
      <c r="G1171" s="467"/>
      <c r="H1171" s="467"/>
      <c r="I1171" s="467"/>
      <c r="J1171" s="467"/>
      <c r="K1171" s="505"/>
      <c r="L1171" s="505"/>
      <c r="M1171" s="52"/>
      <c r="N1171" s="52"/>
    </row>
    <row r="1172" spans="1:25" s="724" customFormat="1" ht="15">
      <c r="A1172" s="144" t="s">
        <v>684</v>
      </c>
      <c r="B1172" s="467"/>
      <c r="C1172" s="467"/>
      <c r="D1172" s="467"/>
      <c r="E1172" s="467"/>
      <c r="F1172" s="467"/>
      <c r="G1172" s="467"/>
      <c r="H1172" s="467"/>
      <c r="I1172" s="467"/>
      <c r="J1172" s="467"/>
      <c r="K1172" s="505"/>
      <c r="L1172" s="505"/>
      <c r="M1172" s="52"/>
      <c r="N1172" s="52"/>
      <c r="O1172" s="244"/>
      <c r="P1172" s="244"/>
      <c r="Q1172" s="244"/>
      <c r="R1172" s="244"/>
      <c r="S1172" s="244"/>
      <c r="T1172" s="244"/>
      <c r="U1172" s="244"/>
      <c r="V1172" s="244"/>
      <c r="W1172" s="244"/>
      <c r="X1172" s="244"/>
      <c r="Y1172" s="244"/>
    </row>
    <row r="1173" spans="1:14" ht="15.75" thickBot="1">
      <c r="A1173" s="61"/>
      <c r="B1173" s="62"/>
      <c r="C1173" s="2"/>
      <c r="D1173" s="2"/>
      <c r="E1173" s="2"/>
      <c r="F1173" s="2"/>
      <c r="G1173" s="2"/>
      <c r="H1173" s="2"/>
      <c r="I1173" s="1"/>
      <c r="J1173" s="290"/>
      <c r="K1173" s="502"/>
      <c r="L1173" s="502"/>
      <c r="M1173" s="52"/>
      <c r="N1173" s="52"/>
    </row>
    <row r="1174" spans="1:14" ht="20.25" customHeight="1" thickTop="1">
      <c r="A1174" s="79" t="s">
        <v>74</v>
      </c>
      <c r="B1174" s="366" t="s">
        <v>144</v>
      </c>
      <c r="C1174" s="889" t="s">
        <v>665</v>
      </c>
      <c r="D1174" s="890"/>
      <c r="E1174" s="889" t="s">
        <v>669</v>
      </c>
      <c r="F1174" s="890"/>
      <c r="G1174" s="860" t="s">
        <v>668</v>
      </c>
      <c r="H1174" s="862"/>
      <c r="I1174" s="856"/>
      <c r="J1174" s="857"/>
      <c r="K1174" s="502"/>
      <c r="L1174" s="502"/>
      <c r="M1174" s="52"/>
      <c r="N1174" s="52"/>
    </row>
    <row r="1175" spans="1:14" ht="18" customHeight="1">
      <c r="A1175" s="168" t="s">
        <v>348</v>
      </c>
      <c r="B1175" s="34" t="s">
        <v>82</v>
      </c>
      <c r="C1175" s="837">
        <f>CEILING(48*$Z$1,0.1)</f>
        <v>62.400000000000006</v>
      </c>
      <c r="D1175" s="838"/>
      <c r="E1175" s="837">
        <f>CEILING(58.5*$Z$1,0.1)</f>
        <v>76.10000000000001</v>
      </c>
      <c r="F1175" s="838"/>
      <c r="G1175" s="837">
        <f>CEILING(48*$Z$1,0.1)</f>
        <v>62.400000000000006</v>
      </c>
      <c r="H1175" s="838"/>
      <c r="I1175" s="842"/>
      <c r="J1175" s="845"/>
      <c r="K1175" s="502"/>
      <c r="L1175" s="502"/>
      <c r="M1175" s="52"/>
      <c r="N1175" s="52"/>
    </row>
    <row r="1176" spans="1:14" ht="15.75" customHeight="1">
      <c r="A1176" s="33" t="s">
        <v>91</v>
      </c>
      <c r="B1176" s="34" t="s">
        <v>83</v>
      </c>
      <c r="C1176" s="840">
        <f>CEILING(63*$Z$1,0.1)</f>
        <v>81.9</v>
      </c>
      <c r="D1176" s="844"/>
      <c r="E1176" s="840">
        <f>CEILING(74*$Z$1,0.1)</f>
        <v>96.2</v>
      </c>
      <c r="F1176" s="844"/>
      <c r="G1176" s="840">
        <f>CEILING(63*$Z$1,0.1)</f>
        <v>81.9</v>
      </c>
      <c r="H1176" s="844"/>
      <c r="I1176" s="842"/>
      <c r="J1176" s="845"/>
      <c r="K1176" s="128"/>
      <c r="L1176" s="502"/>
      <c r="M1176" s="52"/>
      <c r="N1176" s="52"/>
    </row>
    <row r="1177" spans="1:14" ht="15.75" customHeight="1">
      <c r="A1177" s="33"/>
      <c r="B1177" s="161" t="s">
        <v>116</v>
      </c>
      <c r="C1177" s="840">
        <f>CEILING(38*$Z$1,0.1)</f>
        <v>49.400000000000006</v>
      </c>
      <c r="D1177" s="844"/>
      <c r="E1177" s="840">
        <f>CEILING(47*$Z$1,0.1)</f>
        <v>61.1</v>
      </c>
      <c r="F1177" s="844"/>
      <c r="G1177" s="840">
        <f>CEILING(38*$Z$1,0.1)</f>
        <v>49.400000000000006</v>
      </c>
      <c r="H1177" s="844"/>
      <c r="I1177" s="636"/>
      <c r="J1177" s="637"/>
      <c r="K1177" s="128"/>
      <c r="L1177" s="502"/>
      <c r="M1177" s="52"/>
      <c r="N1177" s="52"/>
    </row>
    <row r="1178" spans="1:14" ht="15" customHeight="1">
      <c r="A1178" s="33"/>
      <c r="B1178" s="14" t="s">
        <v>123</v>
      </c>
      <c r="C1178" s="842">
        <v>0</v>
      </c>
      <c r="D1178" s="845"/>
      <c r="E1178" s="842">
        <v>0</v>
      </c>
      <c r="F1178" s="845"/>
      <c r="G1178" s="842">
        <v>0</v>
      </c>
      <c r="H1178" s="845"/>
      <c r="I1178" s="842"/>
      <c r="J1178" s="845"/>
      <c r="K1178" s="128"/>
      <c r="L1178" s="502"/>
      <c r="M1178" s="52"/>
      <c r="N1178" s="52"/>
    </row>
    <row r="1179" spans="1:14" ht="15.75" thickBot="1">
      <c r="A1179" s="105" t="s">
        <v>896</v>
      </c>
      <c r="B1179" s="15" t="s">
        <v>346</v>
      </c>
      <c r="C1179" s="846">
        <f>CEILING((C1175*0.5),0.1)</f>
        <v>31.200000000000003</v>
      </c>
      <c r="D1179" s="847"/>
      <c r="E1179" s="846">
        <f>CEILING((E1175*0.5),0.1)</f>
        <v>38.1</v>
      </c>
      <c r="F1179" s="847"/>
      <c r="G1179" s="846">
        <f>CEILING((G1175*0.5),0.1)</f>
        <v>31.200000000000003</v>
      </c>
      <c r="H1179" s="847"/>
      <c r="I1179" s="842"/>
      <c r="J1179" s="845"/>
      <c r="K1179" s="527"/>
      <c r="L1179" s="128"/>
      <c r="M1179" s="52"/>
      <c r="N1179" s="52"/>
    </row>
    <row r="1180" spans="1:14" ht="15.75" thickTop="1">
      <c r="A1180" s="634" t="s">
        <v>750</v>
      </c>
      <c r="B1180" s="60"/>
      <c r="C1180" s="637"/>
      <c r="D1180" s="637"/>
      <c r="E1180" s="637"/>
      <c r="F1180" s="637"/>
      <c r="G1180" s="637"/>
      <c r="H1180" s="637"/>
      <c r="I1180" s="637"/>
      <c r="J1180" s="637"/>
      <c r="K1180" s="527"/>
      <c r="L1180" s="128"/>
      <c r="M1180" s="52"/>
      <c r="N1180" s="52"/>
    </row>
    <row r="1181" spans="1:16" ht="15.75" thickBot="1">
      <c r="A1181" s="150"/>
      <c r="B1181" s="150"/>
      <c r="C1181" s="150"/>
      <c r="D1181" s="150"/>
      <c r="E1181" s="150"/>
      <c r="F1181" s="150"/>
      <c r="G1181" s="150"/>
      <c r="H1181" s="150"/>
      <c r="I1181" s="651"/>
      <c r="J1181" s="556"/>
      <c r="K1181" s="128"/>
      <c r="L1181" s="128"/>
      <c r="M1181" s="52"/>
      <c r="N1181" s="52"/>
      <c r="O1181" s="271"/>
      <c r="P1181" s="271"/>
    </row>
    <row r="1182" spans="1:16" ht="27" customHeight="1" thickTop="1">
      <c r="A1182" s="79" t="s">
        <v>74</v>
      </c>
      <c r="B1182" s="366" t="s">
        <v>148</v>
      </c>
      <c r="C1182" s="870" t="s">
        <v>665</v>
      </c>
      <c r="D1182" s="871"/>
      <c r="E1182" s="852" t="s">
        <v>669</v>
      </c>
      <c r="F1182" s="853"/>
      <c r="G1182" s="854" t="s">
        <v>668</v>
      </c>
      <c r="H1182" s="855"/>
      <c r="I1182" s="856"/>
      <c r="J1182" s="857"/>
      <c r="K1182" s="128"/>
      <c r="L1182" s="128"/>
      <c r="M1182" s="52"/>
      <c r="N1182" s="52"/>
      <c r="O1182" s="271"/>
      <c r="P1182" s="271"/>
    </row>
    <row r="1183" spans="1:16" ht="15">
      <c r="A1183" s="103" t="s">
        <v>205</v>
      </c>
      <c r="B1183" s="167" t="s">
        <v>82</v>
      </c>
      <c r="C1183" s="837">
        <f>CEILING(38.5*$Z$1,0.1)</f>
        <v>50.1</v>
      </c>
      <c r="D1183" s="838"/>
      <c r="E1183" s="837">
        <f>CEILING(49*$Z$1,0.1)</f>
        <v>63.7</v>
      </c>
      <c r="F1183" s="838"/>
      <c r="G1183" s="837">
        <f>CEILING(38.5*$Z$1,0.1)</f>
        <v>50.1</v>
      </c>
      <c r="H1183" s="838"/>
      <c r="I1183" s="842"/>
      <c r="J1183" s="845"/>
      <c r="K1183" s="527"/>
      <c r="L1183" s="128"/>
      <c r="M1183" s="22"/>
      <c r="N1183" s="22"/>
      <c r="O1183" s="271"/>
      <c r="P1183" s="271"/>
    </row>
    <row r="1184" spans="1:14" ht="17.25" customHeight="1">
      <c r="A1184" s="81"/>
      <c r="B1184" s="34" t="s">
        <v>83</v>
      </c>
      <c r="C1184" s="840">
        <f>CEILING(54*$Z$1,0.1)</f>
        <v>70.2</v>
      </c>
      <c r="D1184" s="844"/>
      <c r="E1184" s="840">
        <f>CEILING(64*$Z$1,0.1)</f>
        <v>83.2</v>
      </c>
      <c r="F1184" s="844"/>
      <c r="G1184" s="840">
        <f>CEILING(54*$Z$1,0.1)</f>
        <v>70.2</v>
      </c>
      <c r="H1184" s="844"/>
      <c r="I1184" s="842"/>
      <c r="J1184" s="845"/>
      <c r="K1184" s="527"/>
      <c r="L1184" s="527"/>
      <c r="M1184" s="305"/>
      <c r="N1184" s="305"/>
    </row>
    <row r="1185" spans="1:14" ht="15.75" customHeight="1">
      <c r="A1185" s="33" t="s">
        <v>91</v>
      </c>
      <c r="B1185" s="41" t="s">
        <v>78</v>
      </c>
      <c r="C1185" s="840">
        <f>CEILING(31*$Z$1,0.1)</f>
        <v>40.300000000000004</v>
      </c>
      <c r="D1185" s="844"/>
      <c r="E1185" s="840">
        <f>CEILING(39*$Z$1,0.1)</f>
        <v>50.7</v>
      </c>
      <c r="F1185" s="844"/>
      <c r="G1185" s="840">
        <f>CEILING(31*$Z$1,0.1)</f>
        <v>40.300000000000004</v>
      </c>
      <c r="H1185" s="844"/>
      <c r="I1185" s="842"/>
      <c r="J1185" s="845"/>
      <c r="K1185" s="527"/>
      <c r="L1185" s="527"/>
      <c r="M1185" s="305"/>
      <c r="N1185" s="305"/>
    </row>
    <row r="1186" spans="1:13" ht="15" customHeight="1">
      <c r="A1186" s="40"/>
      <c r="B1186" s="14" t="s">
        <v>132</v>
      </c>
      <c r="C1186" s="842">
        <v>0</v>
      </c>
      <c r="D1186" s="845"/>
      <c r="E1186" s="842">
        <v>0</v>
      </c>
      <c r="F1186" s="845"/>
      <c r="G1186" s="842">
        <v>0</v>
      </c>
      <c r="H1186" s="845"/>
      <c r="I1186" s="842"/>
      <c r="J1186" s="845"/>
      <c r="K1186" s="527"/>
      <c r="L1186" s="527"/>
      <c r="M1186" s="244"/>
    </row>
    <row r="1187" spans="1:31" ht="15">
      <c r="A1187" s="40"/>
      <c r="B1187" s="12" t="s">
        <v>206</v>
      </c>
      <c r="C1187" s="840">
        <f>CEILING(40.5*$Z$1,0.1)</f>
        <v>52.7</v>
      </c>
      <c r="D1187" s="844"/>
      <c r="E1187" s="840">
        <f>CEILING(51*$Z$1,0.1)</f>
        <v>66.3</v>
      </c>
      <c r="F1187" s="844"/>
      <c r="G1187" s="840">
        <f>CEILING(40.5*$Z$1,0.1)</f>
        <v>52.7</v>
      </c>
      <c r="H1187" s="844"/>
      <c r="I1187" s="842"/>
      <c r="J1187" s="845"/>
      <c r="K1187" s="527"/>
      <c r="L1187" s="527"/>
      <c r="M1187" s="244"/>
      <c r="S1187" s="22"/>
      <c r="T1187" s="22"/>
      <c r="Z1187" s="244"/>
      <c r="AA1187" s="244"/>
      <c r="AB1187" s="244"/>
      <c r="AC1187" s="244"/>
      <c r="AD1187" s="244"/>
      <c r="AE1187" s="244"/>
    </row>
    <row r="1188" spans="1:27" ht="15.75" thickBot="1">
      <c r="A1188" s="105" t="s">
        <v>897</v>
      </c>
      <c r="B1188" s="49" t="s">
        <v>207</v>
      </c>
      <c r="C1188" s="846">
        <f>CEILING(56*$Z$1,0.1)</f>
        <v>72.8</v>
      </c>
      <c r="D1188" s="847"/>
      <c r="E1188" s="846">
        <f>CEILING(66*$Z$1,0.1)</f>
        <v>85.80000000000001</v>
      </c>
      <c r="F1188" s="847"/>
      <c r="G1188" s="846">
        <f>CEILING(56*$Z$1,0.1)</f>
        <v>72.8</v>
      </c>
      <c r="H1188" s="847"/>
      <c r="I1188" s="842"/>
      <c r="J1188" s="845"/>
      <c r="K1188" s="527"/>
      <c r="L1188" s="527"/>
      <c r="M1188" s="244"/>
      <c r="Z1188" s="244"/>
      <c r="AA1188" s="244"/>
    </row>
    <row r="1189" spans="1:27" ht="15.75" thickTop="1">
      <c r="A1189" s="634" t="s">
        <v>747</v>
      </c>
      <c r="B1189" s="51"/>
      <c r="C1189" s="637"/>
      <c r="D1189" s="637"/>
      <c r="E1189" s="637"/>
      <c r="F1189" s="637"/>
      <c r="G1189" s="637"/>
      <c r="H1189" s="637"/>
      <c r="I1189" s="637"/>
      <c r="J1189" s="637"/>
      <c r="K1189" s="527"/>
      <c r="L1189" s="527"/>
      <c r="M1189" s="244"/>
      <c r="Z1189" s="244"/>
      <c r="AA1189" s="244"/>
    </row>
    <row r="1190" spans="1:27" ht="15.75" thickBot="1">
      <c r="A1190" s="95"/>
      <c r="B1190" s="62"/>
      <c r="C1190" s="2"/>
      <c r="D1190" s="2"/>
      <c r="E1190" s="2"/>
      <c r="F1190" s="2"/>
      <c r="G1190" s="2"/>
      <c r="H1190" s="2"/>
      <c r="I1190" s="3"/>
      <c r="J1190" s="275"/>
      <c r="K1190" s="527"/>
      <c r="L1190" s="527"/>
      <c r="M1190" s="244"/>
      <c r="Z1190" s="244"/>
      <c r="AA1190" s="244"/>
    </row>
    <row r="1191" spans="1:27" ht="23.25" customHeight="1" thickTop="1">
      <c r="A1191" s="93" t="s">
        <v>74</v>
      </c>
      <c r="B1191" s="227" t="s">
        <v>144</v>
      </c>
      <c r="C1191" s="870" t="s">
        <v>665</v>
      </c>
      <c r="D1191" s="871"/>
      <c r="E1191" s="852" t="s">
        <v>669</v>
      </c>
      <c r="F1191" s="853"/>
      <c r="G1191" s="854" t="s">
        <v>668</v>
      </c>
      <c r="H1191" s="855"/>
      <c r="I1191" s="289"/>
      <c r="J1191" s="3"/>
      <c r="K1191" s="527"/>
      <c r="L1191" s="527"/>
      <c r="M1191" s="271"/>
      <c r="N1191" s="271"/>
      <c r="O1191" s="271"/>
      <c r="Z1191" s="244"/>
      <c r="AA1191" s="244"/>
    </row>
    <row r="1192" spans="1:27" ht="15">
      <c r="A1192" s="168" t="s">
        <v>38</v>
      </c>
      <c r="B1192" s="34" t="s">
        <v>82</v>
      </c>
      <c r="C1192" s="837">
        <f>CEILING(28*$Z$1,0.1)</f>
        <v>36.4</v>
      </c>
      <c r="D1192" s="838"/>
      <c r="E1192" s="837">
        <f>CEILING(35*$Z$1,0.1)</f>
        <v>45.5</v>
      </c>
      <c r="F1192" s="838"/>
      <c r="G1192" s="837">
        <f>CEILING(28*$Z$1,0.1)</f>
        <v>36.4</v>
      </c>
      <c r="H1192" s="838"/>
      <c r="I1192" s="4"/>
      <c r="J1192" s="3"/>
      <c r="K1192" s="527"/>
      <c r="L1192" s="527"/>
      <c r="M1192" s="290"/>
      <c r="N1192" s="271"/>
      <c r="O1192" s="271"/>
      <c r="Z1192" s="244"/>
      <c r="AA1192" s="244"/>
    </row>
    <row r="1193" spans="1:25" ht="15">
      <c r="A1193" s="33" t="s">
        <v>130</v>
      </c>
      <c r="B1193" s="34" t="s">
        <v>83</v>
      </c>
      <c r="C1193" s="840">
        <f>CEILING(34*$Z$1,0.1)</f>
        <v>44.2</v>
      </c>
      <c r="D1193" s="844"/>
      <c r="E1193" s="840">
        <f>CEILING(42*$Z$1,0.1)</f>
        <v>54.6</v>
      </c>
      <c r="F1193" s="844"/>
      <c r="G1193" s="840">
        <f>CEILING(34*$Z$1,0.1)</f>
        <v>44.2</v>
      </c>
      <c r="H1193" s="844"/>
      <c r="I1193" s="4"/>
      <c r="J1193" s="3"/>
      <c r="K1193" s="128"/>
      <c r="L1193" s="527"/>
      <c r="M1193" s="556"/>
      <c r="N1193" s="271"/>
      <c r="O1193" s="271"/>
      <c r="W1193"/>
      <c r="X1193"/>
      <c r="Y1193"/>
    </row>
    <row r="1194" spans="1:25" ht="15">
      <c r="A1194" s="33"/>
      <c r="B1194" s="34" t="s">
        <v>286</v>
      </c>
      <c r="C1194" s="842">
        <v>0</v>
      </c>
      <c r="D1194" s="845"/>
      <c r="E1194" s="842">
        <v>0</v>
      </c>
      <c r="F1194" s="845"/>
      <c r="G1194" s="842">
        <v>0</v>
      </c>
      <c r="H1194" s="845"/>
      <c r="I1194" s="4"/>
      <c r="J1194" s="3"/>
      <c r="K1194" s="510"/>
      <c r="L1194" s="128"/>
      <c r="M1194" s="556"/>
      <c r="N1194" s="271"/>
      <c r="O1194" s="271"/>
      <c r="P1194" s="877"/>
      <c r="Q1194" s="877"/>
      <c r="R1194" s="255"/>
      <c r="S1194" s="255"/>
      <c r="W1194"/>
      <c r="X1194"/>
      <c r="Y1194"/>
    </row>
    <row r="1195" spans="1:25" ht="15.75" thickBot="1">
      <c r="A1195" s="673" t="s">
        <v>908</v>
      </c>
      <c r="B1195" s="152" t="s">
        <v>287</v>
      </c>
      <c r="C1195" s="846">
        <f>CEILING((C1192*0.7),0.1)</f>
        <v>25.5</v>
      </c>
      <c r="D1195" s="847"/>
      <c r="E1195" s="846">
        <f>CEILING((E1192*0.7),0.1)</f>
        <v>31.900000000000002</v>
      </c>
      <c r="F1195" s="847"/>
      <c r="G1195" s="846">
        <f>CEILING((G1192*0.7),0.1)</f>
        <v>25.5</v>
      </c>
      <c r="H1195" s="847"/>
      <c r="I1195" s="4"/>
      <c r="J1195" s="72"/>
      <c r="K1195" s="510"/>
      <c r="L1195" s="510"/>
      <c r="M1195" s="556"/>
      <c r="N1195" s="271"/>
      <c r="O1195" s="271"/>
      <c r="P1195" s="17"/>
      <c r="Q1195" s="17"/>
      <c r="R1195" s="17"/>
      <c r="S1195" s="17"/>
      <c r="W1195"/>
      <c r="X1195"/>
      <c r="Y1195"/>
    </row>
    <row r="1196" spans="1:25" ht="15.75" thickTop="1">
      <c r="A1196" s="99" t="s">
        <v>805</v>
      </c>
      <c r="B1196" s="51"/>
      <c r="C1196" s="670"/>
      <c r="D1196" s="670"/>
      <c r="E1196" s="670"/>
      <c r="F1196" s="670"/>
      <c r="G1196" s="670"/>
      <c r="H1196" s="670"/>
      <c r="I1196" s="3"/>
      <c r="J1196" s="72"/>
      <c r="K1196" s="510"/>
      <c r="L1196" s="510"/>
      <c r="M1196" s="556"/>
      <c r="N1196" s="271"/>
      <c r="O1196" s="271"/>
      <c r="P1196" s="17"/>
      <c r="Q1196" s="17"/>
      <c r="R1196" s="17"/>
      <c r="S1196" s="17"/>
      <c r="W1196"/>
      <c r="X1196"/>
      <c r="Y1196"/>
    </row>
    <row r="1197" spans="1:25" ht="15">
      <c r="A1197" s="397" t="s">
        <v>806</v>
      </c>
      <c r="B1197" s="397"/>
      <c r="C1197" s="397"/>
      <c r="D1197" s="397"/>
      <c r="E1197" s="397"/>
      <c r="F1197" s="397"/>
      <c r="G1197" s="397"/>
      <c r="H1197" s="397"/>
      <c r="I1197" s="72"/>
      <c r="J1197" s="72"/>
      <c r="K1197" s="503"/>
      <c r="L1197" s="503"/>
      <c r="M1197" s="556"/>
      <c r="N1197" s="271"/>
      <c r="O1197" s="271"/>
      <c r="P1197" s="3"/>
      <c r="Q1197" s="3"/>
      <c r="R1197" s="3"/>
      <c r="S1197" s="3"/>
      <c r="W1197"/>
      <c r="X1197"/>
      <c r="Y1197"/>
    </row>
    <row r="1198" spans="1:25" ht="15">
      <c r="A1198" s="99"/>
      <c r="B1198" s="60"/>
      <c r="C1198" s="3"/>
      <c r="D1198" s="3"/>
      <c r="E1198" s="3"/>
      <c r="F1198" s="3"/>
      <c r="G1198" s="3"/>
      <c r="H1198" s="3"/>
      <c r="I1198" s="3"/>
      <c r="J1198" s="211"/>
      <c r="K1198" s="503"/>
      <c r="L1198" s="503"/>
      <c r="M1198" s="556"/>
      <c r="N1198" s="271"/>
      <c r="O1198" s="271"/>
      <c r="P1198" s="3"/>
      <c r="Q1198" s="3"/>
      <c r="R1198" s="3"/>
      <c r="S1198" s="3"/>
      <c r="W1198"/>
      <c r="X1198"/>
      <c r="Y1198"/>
    </row>
    <row r="1199" spans="1:25" ht="15">
      <c r="A1199" s="929" t="s">
        <v>420</v>
      </c>
      <c r="B1199" s="929"/>
      <c r="C1199" s="929"/>
      <c r="D1199" s="929"/>
      <c r="E1199" s="929"/>
      <c r="F1199" s="929"/>
      <c r="G1199" s="929"/>
      <c r="H1199" s="929"/>
      <c r="I1199" s="211"/>
      <c r="J1199" s="211"/>
      <c r="K1199" s="503"/>
      <c r="L1199" s="503"/>
      <c r="M1199" s="556"/>
      <c r="N1199" s="271"/>
      <c r="O1199" s="271"/>
      <c r="P1199" s="3"/>
      <c r="Q1199" s="3"/>
      <c r="R1199" s="3"/>
      <c r="S1199" s="3"/>
      <c r="W1199"/>
      <c r="X1199"/>
      <c r="Y1199"/>
    </row>
    <row r="1200" spans="1:25" ht="18.75" customHeight="1">
      <c r="A1200" s="929" t="s">
        <v>974</v>
      </c>
      <c r="B1200" s="929"/>
      <c r="C1200" s="929"/>
      <c r="D1200" s="929"/>
      <c r="E1200" s="929"/>
      <c r="F1200" s="929"/>
      <c r="G1200" s="929"/>
      <c r="H1200" s="929"/>
      <c r="I1200" s="211"/>
      <c r="J1200" s="36"/>
      <c r="K1200" s="503"/>
      <c r="L1200" s="503"/>
      <c r="M1200" s="556"/>
      <c r="N1200" s="271"/>
      <c r="O1200" s="271"/>
      <c r="P1200" s="3"/>
      <c r="Q1200" s="3"/>
      <c r="R1200" s="3"/>
      <c r="S1200" s="3"/>
      <c r="W1200"/>
      <c r="X1200"/>
      <c r="Y1200"/>
    </row>
    <row r="1201" spans="1:25" ht="15">
      <c r="A1201" s="20"/>
      <c r="B1201" s="20"/>
      <c r="C1201" s="20"/>
      <c r="D1201" s="20"/>
      <c r="E1201" s="20"/>
      <c r="F1201" s="20"/>
      <c r="G1201" s="20"/>
      <c r="H1201" s="20"/>
      <c r="I1201" s="36"/>
      <c r="J1201" s="36"/>
      <c r="K1201" s="503"/>
      <c r="L1201" s="503"/>
      <c r="M1201" s="556"/>
      <c r="N1201" s="271"/>
      <c r="O1201" s="271"/>
      <c r="P1201" s="3"/>
      <c r="Q1201" s="3"/>
      <c r="R1201" s="3"/>
      <c r="S1201" s="3"/>
      <c r="W1201"/>
      <c r="X1201"/>
      <c r="Y1201"/>
    </row>
    <row r="1202" spans="1:25" ht="15.75">
      <c r="A1202" s="35" t="s">
        <v>39</v>
      </c>
      <c r="B1202" s="36"/>
      <c r="C1202" s="36"/>
      <c r="D1202" s="36"/>
      <c r="E1202" s="36"/>
      <c r="F1202" s="36"/>
      <c r="G1202" s="36"/>
      <c r="H1202" s="36"/>
      <c r="I1202" s="36"/>
      <c r="J1202" s="291"/>
      <c r="K1202" s="503"/>
      <c r="L1202" s="503"/>
      <c r="M1202" s="556"/>
      <c r="N1202" s="271"/>
      <c r="O1202" s="271"/>
      <c r="P1202" s="3"/>
      <c r="Q1202" s="3"/>
      <c r="R1202" s="3"/>
      <c r="S1202" s="3"/>
      <c r="W1202"/>
      <c r="X1202"/>
      <c r="Y1202"/>
    </row>
    <row r="1203" spans="1:25" ht="15.75">
      <c r="A1203" s="1021" t="s">
        <v>208</v>
      </c>
      <c r="B1203" s="1021"/>
      <c r="C1203" s="1021"/>
      <c r="D1203" s="1021"/>
      <c r="E1203" s="1021"/>
      <c r="F1203" s="1021"/>
      <c r="G1203" s="1021"/>
      <c r="H1203" s="1021"/>
      <c r="I1203" s="291"/>
      <c r="J1203" s="148"/>
      <c r="K1203" s="503"/>
      <c r="L1203" s="503"/>
      <c r="P1203" s="3"/>
      <c r="Q1203" s="3"/>
      <c r="R1203" s="3"/>
      <c r="S1203" s="3"/>
      <c r="W1203"/>
      <c r="X1203"/>
      <c r="Y1203"/>
    </row>
    <row r="1204" spans="1:25" ht="15.75" thickBot="1">
      <c r="A1204" s="147"/>
      <c r="B1204" s="147"/>
      <c r="C1204" s="147"/>
      <c r="D1204" s="147"/>
      <c r="E1204" s="147"/>
      <c r="F1204" s="147"/>
      <c r="G1204" s="147"/>
      <c r="H1204" s="147"/>
      <c r="I1204" s="148"/>
      <c r="J1204" s="290"/>
      <c r="K1204" s="490"/>
      <c r="L1204" s="490"/>
      <c r="M1204" s="271"/>
      <c r="N1204" s="271"/>
      <c r="P1204" s="3"/>
      <c r="Q1204" s="3"/>
      <c r="R1204" s="3"/>
      <c r="S1204" s="3"/>
      <c r="W1204"/>
      <c r="X1204"/>
      <c r="Y1204"/>
    </row>
    <row r="1205" spans="1:25" ht="15.75" thickTop="1">
      <c r="A1205" s="974" t="s">
        <v>74</v>
      </c>
      <c r="B1205" s="58"/>
      <c r="C1205" s="863" t="s">
        <v>665</v>
      </c>
      <c r="D1205" s="953"/>
      <c r="E1205" s="863" t="s">
        <v>669</v>
      </c>
      <c r="F1205" s="953"/>
      <c r="G1205" s="863" t="s">
        <v>668</v>
      </c>
      <c r="H1205" s="864"/>
      <c r="I1205" s="878"/>
      <c r="J1205" s="877"/>
      <c r="K1205" s="731"/>
      <c r="L1205" s="592"/>
      <c r="M1205" s="591"/>
      <c r="N1205" s="591"/>
      <c r="P1205" s="3"/>
      <c r="Q1205" s="3"/>
      <c r="R1205" s="3"/>
      <c r="S1205" s="3"/>
      <c r="W1205"/>
      <c r="X1205"/>
      <c r="Y1205"/>
    </row>
    <row r="1206" spans="1:25" ht="15">
      <c r="A1206" s="975"/>
      <c r="B1206" s="58"/>
      <c r="C1206" s="124" t="s">
        <v>144</v>
      </c>
      <c r="D1206" s="124" t="s">
        <v>146</v>
      </c>
      <c r="E1206" s="124" t="s">
        <v>144</v>
      </c>
      <c r="F1206" s="124" t="s">
        <v>203</v>
      </c>
      <c r="G1206" s="124" t="s">
        <v>144</v>
      </c>
      <c r="H1206" s="125" t="s">
        <v>146</v>
      </c>
      <c r="I1206" s="596"/>
      <c r="J1206" s="593"/>
      <c r="K1206" s="594"/>
      <c r="L1206" s="594"/>
      <c r="M1206" s="593"/>
      <c r="N1206" s="593"/>
      <c r="P1206" s="3"/>
      <c r="Q1206" s="3"/>
      <c r="R1206" s="3"/>
      <c r="S1206" s="3"/>
      <c r="W1206"/>
      <c r="X1206"/>
      <c r="Y1206"/>
    </row>
    <row r="1207" spans="1:25" ht="15">
      <c r="A1207" s="307" t="s">
        <v>209</v>
      </c>
      <c r="B1207" s="171" t="s">
        <v>431</v>
      </c>
      <c r="C1207" s="744">
        <f>CEILING(160*$Z$1,0.1)</f>
        <v>208</v>
      </c>
      <c r="D1207" s="744">
        <f>_xlfn.CEILING.MATH((C1207+19*$Z$1),0.1)</f>
        <v>232.70000000000002</v>
      </c>
      <c r="E1207" s="744">
        <f>CEILING(175*$Z$1,0.1)</f>
        <v>227.5</v>
      </c>
      <c r="F1207" s="744">
        <f>_xlfn.CEILING.MATH((E1207+19*$Z$1),0.1)</f>
        <v>252.20000000000002</v>
      </c>
      <c r="G1207" s="744">
        <f>CEILING(155*$Z$1,0.1)</f>
        <v>201.5</v>
      </c>
      <c r="H1207" s="744">
        <f>_xlfn.CEILING.MATH((G1207+19*$Z$1),0.1)</f>
        <v>226.20000000000002</v>
      </c>
      <c r="I1207" s="728"/>
      <c r="J1207" s="729"/>
      <c r="K1207" s="590"/>
      <c r="L1207" s="590"/>
      <c r="M1207" s="587"/>
      <c r="N1207" s="587"/>
      <c r="P1207" s="3"/>
      <c r="Q1207" s="3"/>
      <c r="R1207" s="3"/>
      <c r="S1207" s="3"/>
      <c r="W1207"/>
      <c r="X1207"/>
      <c r="Y1207"/>
    </row>
    <row r="1208" spans="1:25" ht="15">
      <c r="A1208" s="309" t="s">
        <v>76</v>
      </c>
      <c r="B1208" s="12" t="s">
        <v>432</v>
      </c>
      <c r="C1208" s="744">
        <f>_xlfn.CEILING.MATH((C1207+135*$Z$1),0.1)</f>
        <v>383.5</v>
      </c>
      <c r="D1208" s="762">
        <f>_xlfn.CEILING.MATH((C1208+19*$Z$1),0.1)</f>
        <v>408.20000000000005</v>
      </c>
      <c r="E1208" s="744">
        <f>_xlfn.CEILING.MATH((E1207+135*$Z$1),0.1)</f>
        <v>403</v>
      </c>
      <c r="F1208" s="762">
        <f>_xlfn.CEILING.MATH((E1208+19*$Z$1),0.1)</f>
        <v>427.70000000000005</v>
      </c>
      <c r="G1208" s="744">
        <f>_xlfn.CEILING.MATH((G1207+135*$Z$1),0.1)</f>
        <v>377</v>
      </c>
      <c r="H1208" s="762">
        <f>_xlfn.CEILING.MATH((G1208+19*$Z$1),0.1)</f>
        <v>401.70000000000005</v>
      </c>
      <c r="I1208" s="728"/>
      <c r="J1208" s="729"/>
      <c r="K1208" s="590"/>
      <c r="L1208" s="590"/>
      <c r="M1208" s="587"/>
      <c r="N1208" s="587"/>
      <c r="P1208" s="3"/>
      <c r="Q1208" s="3"/>
      <c r="R1208" s="3"/>
      <c r="S1208" s="3"/>
      <c r="W1208"/>
      <c r="X1208"/>
      <c r="Y1208"/>
    </row>
    <row r="1209" spans="1:25" ht="15">
      <c r="A1209" s="309"/>
      <c r="B1209" s="161" t="s">
        <v>116</v>
      </c>
      <c r="C1209" s="744">
        <f>CEILING((C1207*0.85),0.1)</f>
        <v>176.8</v>
      </c>
      <c r="D1209" s="762">
        <f>_xlfn.CEILING.MATH((C1209+19*$Z$1),0.1)</f>
        <v>201.5</v>
      </c>
      <c r="E1209" s="744">
        <f>CEILING((E1207*0.85),0.1)</f>
        <v>193.4</v>
      </c>
      <c r="F1209" s="762">
        <f>_xlfn.CEILING.MATH((E1209+19*$Z$1),0.1)</f>
        <v>218.10000000000002</v>
      </c>
      <c r="G1209" s="744">
        <f>CEILING((G1207*0.85),0.1)</f>
        <v>171.3</v>
      </c>
      <c r="H1209" s="762">
        <f>_xlfn.CEILING.MATH((G1209+19*$Z$1),0.1)</f>
        <v>196</v>
      </c>
      <c r="I1209" s="728"/>
      <c r="J1209" s="729"/>
      <c r="K1209" s="590"/>
      <c r="L1209" s="590"/>
      <c r="M1209" s="587"/>
      <c r="N1209" s="587"/>
      <c r="P1209" s="3"/>
      <c r="Q1209" s="3"/>
      <c r="R1209" s="3"/>
      <c r="S1209" s="3"/>
      <c r="W1209"/>
      <c r="X1209"/>
      <c r="Y1209"/>
    </row>
    <row r="1210" spans="1:25" ht="15">
      <c r="A1210" s="243"/>
      <c r="B1210" s="349" t="s">
        <v>115</v>
      </c>
      <c r="C1210" s="744">
        <f aca="true" t="shared" si="4" ref="C1210:H1210">CEILING((C1207*0.5),0.1)</f>
        <v>104</v>
      </c>
      <c r="D1210" s="744">
        <f t="shared" si="4"/>
        <v>116.4</v>
      </c>
      <c r="E1210" s="744">
        <f t="shared" si="4"/>
        <v>113.80000000000001</v>
      </c>
      <c r="F1210" s="744">
        <f t="shared" si="4"/>
        <v>126.10000000000001</v>
      </c>
      <c r="G1210" s="744">
        <f t="shared" si="4"/>
        <v>100.80000000000001</v>
      </c>
      <c r="H1210" s="744">
        <f t="shared" si="4"/>
        <v>113.10000000000001</v>
      </c>
      <c r="I1210" s="728"/>
      <c r="J1210" s="729"/>
      <c r="K1210" s="590"/>
      <c r="L1210" s="590"/>
      <c r="M1210" s="587"/>
      <c r="N1210" s="587"/>
      <c r="P1210" s="3"/>
      <c r="Q1210" s="3"/>
      <c r="R1210" s="3"/>
      <c r="S1210" s="3"/>
      <c r="V1210"/>
      <c r="W1210"/>
      <c r="X1210"/>
      <c r="Y1210"/>
    </row>
    <row r="1211" spans="1:25" ht="15">
      <c r="A1211" s="309"/>
      <c r="B1211" s="12" t="s">
        <v>334</v>
      </c>
      <c r="C1211" s="738">
        <f>_xlfn.CEILING.MATH((C1207+13*$Z$1),0.1)</f>
        <v>224.9</v>
      </c>
      <c r="D1211" s="770">
        <f aca="true" t="shared" si="5" ref="D1211:D1218">_xlfn.CEILING.MATH((C1211+19*$Z$1),0.1)</f>
        <v>249.60000000000002</v>
      </c>
      <c r="E1211" s="738">
        <f>_xlfn.CEILING.MATH((E1207+13*$Z$1),0.1)</f>
        <v>244.4</v>
      </c>
      <c r="F1211" s="770">
        <f aca="true" t="shared" si="6" ref="F1211:F1218">_xlfn.CEILING.MATH((E1211+19*$Z$1),0.1)</f>
        <v>269.1</v>
      </c>
      <c r="G1211" s="738">
        <f>_xlfn.CEILING.MATH((G1207+13*$Z$1),0.1)</f>
        <v>218.4</v>
      </c>
      <c r="H1211" s="770">
        <f aca="true" t="shared" si="7" ref="H1211:H1218">_xlfn.CEILING.MATH((G1211+19*$Z$1),0.1)</f>
        <v>243.10000000000002</v>
      </c>
      <c r="I1211" s="728"/>
      <c r="J1211" s="729"/>
      <c r="K1211" s="590"/>
      <c r="L1211" s="590"/>
      <c r="M1211" s="587"/>
      <c r="N1211" s="587"/>
      <c r="P1211" s="3"/>
      <c r="Q1211" s="3"/>
      <c r="R1211" s="3"/>
      <c r="S1211" s="3"/>
      <c r="V1211"/>
      <c r="W1211"/>
      <c r="X1211"/>
      <c r="Y1211"/>
    </row>
    <row r="1212" spans="1:25" ht="15">
      <c r="A1212" s="309"/>
      <c r="B1212" s="12" t="s">
        <v>335</v>
      </c>
      <c r="C1212" s="738">
        <f>_xlfn.CEILING.MATH((C1211+140*$Z$1),0.1)</f>
        <v>406.90000000000003</v>
      </c>
      <c r="D1212" s="770">
        <f t="shared" si="5"/>
        <v>431.6</v>
      </c>
      <c r="E1212" s="738">
        <f>_xlfn.CEILING.MATH((E1211+140*$Z$1),0.1)</f>
        <v>426.40000000000003</v>
      </c>
      <c r="F1212" s="770">
        <f t="shared" si="6"/>
        <v>451.1</v>
      </c>
      <c r="G1212" s="738">
        <f>_xlfn.CEILING.MATH((G1211+140*$Z$1),0.1)</f>
        <v>400.40000000000003</v>
      </c>
      <c r="H1212" s="770">
        <f t="shared" si="7"/>
        <v>425.1</v>
      </c>
      <c r="I1212" s="728"/>
      <c r="J1212" s="729"/>
      <c r="K1212" s="590"/>
      <c r="L1212" s="590"/>
      <c r="M1212" s="587"/>
      <c r="N1212" s="587"/>
      <c r="P1212" s="271"/>
      <c r="Q1212" s="271"/>
      <c r="R1212" s="271"/>
      <c r="S1212" s="271"/>
      <c r="V1212"/>
      <c r="W1212"/>
      <c r="X1212"/>
      <c r="Y1212"/>
    </row>
    <row r="1213" spans="1:25" ht="15">
      <c r="A1213" s="309"/>
      <c r="B1213" s="14" t="s">
        <v>366</v>
      </c>
      <c r="C1213" s="738">
        <f>_xlfn.CEILING.MATH((C1207+27*$Z$1),0.1)</f>
        <v>243.10000000000002</v>
      </c>
      <c r="D1213" s="770">
        <f t="shared" si="5"/>
        <v>267.8</v>
      </c>
      <c r="E1213" s="738">
        <f>_xlfn.CEILING.MATH((E1207+27*$Z$1),0.1)</f>
        <v>262.6</v>
      </c>
      <c r="F1213" s="770">
        <f t="shared" si="6"/>
        <v>287.3</v>
      </c>
      <c r="G1213" s="738">
        <f>_xlfn.CEILING.MATH((G1207+27*$Z$1),0.1)</f>
        <v>236.60000000000002</v>
      </c>
      <c r="H1213" s="770">
        <f t="shared" si="7"/>
        <v>261.3</v>
      </c>
      <c r="I1213" s="728"/>
      <c r="J1213" s="729"/>
      <c r="K1213" s="590"/>
      <c r="L1213" s="590"/>
      <c r="M1213" s="587"/>
      <c r="N1213" s="587"/>
      <c r="V1213"/>
      <c r="W1213"/>
      <c r="X1213"/>
      <c r="Y1213"/>
    </row>
    <row r="1214" spans="1:18" ht="15">
      <c r="A1214" s="309"/>
      <c r="B1214" s="14" t="s">
        <v>367</v>
      </c>
      <c r="C1214" s="738">
        <f>_xlfn.CEILING.MATH((C1213+145*$Z$1),0.1)</f>
        <v>431.6</v>
      </c>
      <c r="D1214" s="770">
        <f t="shared" si="5"/>
        <v>456.3</v>
      </c>
      <c r="E1214" s="738">
        <f>_xlfn.CEILING.MATH((E1213+145*$Z$1),0.1)</f>
        <v>451.1</v>
      </c>
      <c r="F1214" s="770">
        <f t="shared" si="6"/>
        <v>475.8</v>
      </c>
      <c r="G1214" s="738">
        <f>_xlfn.CEILING.MATH((G1213+145*$Z$1),0.1)</f>
        <v>425.1</v>
      </c>
      <c r="H1214" s="770">
        <f t="shared" si="7"/>
        <v>449.8</v>
      </c>
      <c r="I1214" s="728"/>
      <c r="J1214" s="729"/>
      <c r="K1214" s="590"/>
      <c r="L1214" s="590"/>
      <c r="M1214" s="587"/>
      <c r="N1214" s="587"/>
      <c r="O1214" s="271"/>
      <c r="P1214" s="271"/>
      <c r="Q1214" s="271"/>
      <c r="R1214" s="271"/>
    </row>
    <row r="1215" spans="1:25" ht="15" customHeight="1">
      <c r="A1215" s="309"/>
      <c r="B1215" s="14" t="s">
        <v>678</v>
      </c>
      <c r="C1215" s="738">
        <f>_xlfn.CEILING.MATH((C1207+50*$Z$1),0.1)</f>
        <v>273</v>
      </c>
      <c r="D1215" s="770">
        <f t="shared" si="5"/>
        <v>297.7</v>
      </c>
      <c r="E1215" s="738">
        <f>_xlfn.CEILING.MATH((E1207+50*$Z$1),0.1)</f>
        <v>292.5</v>
      </c>
      <c r="F1215" s="770">
        <f t="shared" si="6"/>
        <v>317.20000000000005</v>
      </c>
      <c r="G1215" s="738">
        <f>_xlfn.CEILING.MATH((G1207+50*$Z$1),0.1)</f>
        <v>266.5</v>
      </c>
      <c r="H1215" s="770">
        <f t="shared" si="7"/>
        <v>291.2</v>
      </c>
      <c r="I1215" s="728"/>
      <c r="J1215" s="729"/>
      <c r="K1215" s="590"/>
      <c r="L1215" s="590"/>
      <c r="M1215" s="587"/>
      <c r="N1215" s="587"/>
      <c r="O1215" s="255"/>
      <c r="P1215" s="111"/>
      <c r="Q1215" s="255"/>
      <c r="R1215" s="111"/>
      <c r="X1215"/>
      <c r="Y1215"/>
    </row>
    <row r="1216" spans="1:25" ht="15">
      <c r="A1216" s="309"/>
      <c r="B1216" s="14" t="s">
        <v>679</v>
      </c>
      <c r="C1216" s="738">
        <f>_xlfn.CEILING.MATH((C1215+140*$Z$1),0.1)</f>
        <v>455</v>
      </c>
      <c r="D1216" s="770">
        <f t="shared" si="5"/>
        <v>479.70000000000005</v>
      </c>
      <c r="E1216" s="738">
        <f>_xlfn.CEILING.MATH((E1215+140*$Z$1),0.1)</f>
        <v>474.5</v>
      </c>
      <c r="F1216" s="770">
        <f t="shared" si="6"/>
        <v>499.20000000000005</v>
      </c>
      <c r="G1216" s="738">
        <f>_xlfn.CEILING.MATH((G1215+140*$Z$1),0.1)</f>
        <v>448.5</v>
      </c>
      <c r="H1216" s="770">
        <f t="shared" si="7"/>
        <v>473.20000000000005</v>
      </c>
      <c r="I1216" s="728"/>
      <c r="J1216" s="729"/>
      <c r="K1216" s="590"/>
      <c r="L1216" s="590"/>
      <c r="M1216" s="587"/>
      <c r="N1216" s="587"/>
      <c r="O1216" s="17"/>
      <c r="P1216" s="17"/>
      <c r="Q1216" s="17"/>
      <c r="R1216" s="17"/>
      <c r="X1216"/>
      <c r="Y1216"/>
    </row>
    <row r="1217" spans="1:25" ht="15">
      <c r="A1217" s="309"/>
      <c r="B1217" s="14" t="s">
        <v>680</v>
      </c>
      <c r="C1217" s="738">
        <f>_xlfn.CEILING.MATH((C1207+105*$Z$1),0.1)</f>
        <v>344.5</v>
      </c>
      <c r="D1217" s="770">
        <f t="shared" si="5"/>
        <v>369.20000000000005</v>
      </c>
      <c r="E1217" s="738">
        <f>_xlfn.CEILING.MATH((E1207+105*$Z$1),0.1)</f>
        <v>364</v>
      </c>
      <c r="F1217" s="770">
        <f t="shared" si="6"/>
        <v>388.70000000000005</v>
      </c>
      <c r="G1217" s="738">
        <f>_xlfn.CEILING.MATH((G1207+105*$Z$1),0.1)</f>
        <v>338</v>
      </c>
      <c r="H1217" s="770">
        <f t="shared" si="7"/>
        <v>362.70000000000005</v>
      </c>
      <c r="I1217" s="728"/>
      <c r="J1217" s="729"/>
      <c r="K1217" s="590"/>
      <c r="L1217" s="590"/>
      <c r="M1217" s="587"/>
      <c r="N1217" s="587"/>
      <c r="O1217" s="30"/>
      <c r="P1217" s="347"/>
      <c r="Q1217" s="30"/>
      <c r="R1217" s="30"/>
      <c r="X1217"/>
      <c r="Y1217"/>
    </row>
    <row r="1218" spans="1:25" ht="16.5" thickBot="1">
      <c r="A1218" s="391" t="s">
        <v>907</v>
      </c>
      <c r="B1218" s="15" t="s">
        <v>681</v>
      </c>
      <c r="C1218" s="751">
        <f>_xlfn.CEILING.MATH((C1217+155*$Z$1),0.1)</f>
        <v>546</v>
      </c>
      <c r="D1218" s="771">
        <f t="shared" si="5"/>
        <v>570.7</v>
      </c>
      <c r="E1218" s="751">
        <f>_xlfn.CEILING.MATH((E1217+155*$Z$1),0.1)</f>
        <v>565.5</v>
      </c>
      <c r="F1218" s="771">
        <f t="shared" si="6"/>
        <v>590.2</v>
      </c>
      <c r="G1218" s="751">
        <f>_xlfn.CEILING.MATH((G1217+155*$Z$1),0.1)</f>
        <v>539.5</v>
      </c>
      <c r="H1218" s="771">
        <f t="shared" si="7"/>
        <v>564.2</v>
      </c>
      <c r="I1218" s="728"/>
      <c r="J1218" s="729"/>
      <c r="K1218" s="590"/>
      <c r="L1218" s="590"/>
      <c r="M1218" s="587"/>
      <c r="N1218" s="587"/>
      <c r="O1218" s="30"/>
      <c r="P1218" s="347"/>
      <c r="Q1218" s="30"/>
      <c r="R1218" s="30"/>
      <c r="X1218"/>
      <c r="Y1218"/>
    </row>
    <row r="1219" spans="1:25" ht="15.75" thickTop="1">
      <c r="A1219" s="20" t="s">
        <v>673</v>
      </c>
      <c r="B1219" s="20"/>
      <c r="C1219" s="20"/>
      <c r="D1219" s="20"/>
      <c r="E1219" s="20"/>
      <c r="F1219" s="20"/>
      <c r="G1219" s="20"/>
      <c r="H1219" s="20"/>
      <c r="I1219" s="20"/>
      <c r="J1219" s="173"/>
      <c r="K1219" s="241"/>
      <c r="L1219" s="241"/>
      <c r="M1219" s="271"/>
      <c r="N1219" s="271"/>
      <c r="O1219" s="30"/>
      <c r="P1219" s="347"/>
      <c r="Q1219" s="30"/>
      <c r="R1219" s="30"/>
      <c r="X1219"/>
      <c r="Y1219"/>
    </row>
    <row r="1220" spans="1:25" ht="15">
      <c r="A1220" s="144" t="s">
        <v>677</v>
      </c>
      <c r="B1220" s="173"/>
      <c r="C1220" s="173"/>
      <c r="D1220" s="173"/>
      <c r="E1220" s="173"/>
      <c r="F1220" s="173"/>
      <c r="G1220" s="173"/>
      <c r="H1220" s="173"/>
      <c r="I1220" s="173"/>
      <c r="J1220" s="399"/>
      <c r="K1220" s="241"/>
      <c r="L1220" s="241"/>
      <c r="M1220" s="271"/>
      <c r="N1220" s="271"/>
      <c r="O1220" s="30"/>
      <c r="P1220" s="347"/>
      <c r="Q1220" s="30"/>
      <c r="R1220" s="30"/>
      <c r="X1220"/>
      <c r="Y1220"/>
    </row>
    <row r="1221" spans="1:25" ht="15">
      <c r="A1221" s="834" t="s">
        <v>336</v>
      </c>
      <c r="B1221" s="834"/>
      <c r="C1221" s="834"/>
      <c r="D1221" s="834"/>
      <c r="E1221" s="834"/>
      <c r="F1221" s="834"/>
      <c r="G1221" s="834"/>
      <c r="H1221" s="834"/>
      <c r="I1221" s="834"/>
      <c r="J1221" s="834"/>
      <c r="K1221" s="241"/>
      <c r="L1221" s="241"/>
      <c r="M1221" s="30"/>
      <c r="N1221" s="347"/>
      <c r="O1221" s="30"/>
      <c r="P1221" s="347"/>
      <c r="Q1221" s="30"/>
      <c r="R1221" s="30"/>
      <c r="X1221"/>
      <c r="Y1221"/>
    </row>
    <row r="1222" spans="1:25" ht="15.75" thickBot="1">
      <c r="A1222" s="174"/>
      <c r="B1222" s="175"/>
      <c r="C1222" s="175"/>
      <c r="D1222" s="175"/>
      <c r="E1222" s="175"/>
      <c r="F1222" s="175"/>
      <c r="G1222" s="175"/>
      <c r="H1222" s="175"/>
      <c r="I1222" s="399"/>
      <c r="J1222" s="111"/>
      <c r="K1222" s="490"/>
      <c r="L1222" s="510"/>
      <c r="M1222" s="30"/>
      <c r="N1222" s="347"/>
      <c r="O1222" s="30"/>
      <c r="P1222" s="347"/>
      <c r="Q1222" s="30"/>
      <c r="R1222" s="30"/>
      <c r="X1222"/>
      <c r="Y1222"/>
    </row>
    <row r="1223" spans="1:25" ht="15.75" thickTop="1">
      <c r="A1223" s="972" t="s">
        <v>74</v>
      </c>
      <c r="B1223" s="394"/>
      <c r="C1223" s="863" t="s">
        <v>665</v>
      </c>
      <c r="D1223" s="953"/>
      <c r="E1223" s="863" t="s">
        <v>669</v>
      </c>
      <c r="F1223" s="953"/>
      <c r="G1223" s="863" t="s">
        <v>668</v>
      </c>
      <c r="H1223" s="864"/>
      <c r="I1223" s="878"/>
      <c r="J1223" s="877"/>
      <c r="K1223" s="877"/>
      <c r="L1223" s="877"/>
      <c r="M1223" s="877"/>
      <c r="N1223" s="877"/>
      <c r="O1223" s="766"/>
      <c r="P1223" s="764"/>
      <c r="Q1223" s="30"/>
      <c r="R1223" s="30"/>
      <c r="X1223"/>
      <c r="Y1223"/>
    </row>
    <row r="1224" spans="1:25" ht="15">
      <c r="A1224" s="973"/>
      <c r="B1224" s="273"/>
      <c r="C1224" s="124" t="s">
        <v>144</v>
      </c>
      <c r="D1224" s="124" t="s">
        <v>146</v>
      </c>
      <c r="E1224" s="124" t="s">
        <v>144</v>
      </c>
      <c r="F1224" s="124" t="s">
        <v>203</v>
      </c>
      <c r="G1224" s="124" t="s">
        <v>144</v>
      </c>
      <c r="H1224" s="125" t="s">
        <v>146</v>
      </c>
      <c r="I1224" s="596"/>
      <c r="J1224" s="593"/>
      <c r="K1224" s="593"/>
      <c r="L1224" s="593"/>
      <c r="M1224" s="593"/>
      <c r="N1224" s="593"/>
      <c r="O1224" s="767"/>
      <c r="P1224" s="765"/>
      <c r="Q1224" s="348"/>
      <c r="R1224" s="348"/>
      <c r="X1224"/>
      <c r="Y1224"/>
    </row>
    <row r="1225" spans="1:25" ht="15">
      <c r="A1225" s="401" t="s">
        <v>210</v>
      </c>
      <c r="B1225" s="171" t="s">
        <v>431</v>
      </c>
      <c r="C1225" s="744">
        <f>CEILING(160*$Z$1,0.1)</f>
        <v>208</v>
      </c>
      <c r="D1225" s="744"/>
      <c r="E1225" s="744">
        <f>CEILING(175*$Z$1,0.1)</f>
        <v>227.5</v>
      </c>
      <c r="F1225" s="744"/>
      <c r="G1225" s="744">
        <f>CEILING(155*$Z$1,0.1)</f>
        <v>201.5</v>
      </c>
      <c r="H1225" s="744"/>
      <c r="I1225" s="728"/>
      <c r="J1225" s="729"/>
      <c r="K1225" s="729"/>
      <c r="L1225" s="729"/>
      <c r="M1225" s="729"/>
      <c r="N1225" s="729"/>
      <c r="O1225" s="556"/>
      <c r="P1225" s="556"/>
      <c r="X1225"/>
      <c r="Y1225"/>
    </row>
    <row r="1226" spans="1:25" ht="15">
      <c r="A1226" s="402" t="s">
        <v>76</v>
      </c>
      <c r="B1226" s="12" t="s">
        <v>432</v>
      </c>
      <c r="C1226" s="744">
        <f>_xlfn.CEILING.MATH((C1225+135*$Z$1),0.1)</f>
        <v>383.5</v>
      </c>
      <c r="D1226" s="762"/>
      <c r="E1226" s="744">
        <f>_xlfn.CEILING.MATH((E1225+135*$Z$1),0.1)</f>
        <v>403</v>
      </c>
      <c r="F1226" s="762"/>
      <c r="G1226" s="744">
        <f>_xlfn.CEILING.MATH((G1225+135*$Z$1),0.1)</f>
        <v>377</v>
      </c>
      <c r="H1226" s="762"/>
      <c r="I1226" s="728"/>
      <c r="J1226" s="729"/>
      <c r="K1226" s="729"/>
      <c r="L1226" s="729"/>
      <c r="M1226" s="729"/>
      <c r="N1226" s="729"/>
      <c r="O1226" s="556"/>
      <c r="P1226" s="556"/>
      <c r="X1226"/>
      <c r="Y1226"/>
    </row>
    <row r="1227" spans="1:25" ht="15" customHeight="1">
      <c r="A1227" s="402" t="s">
        <v>70</v>
      </c>
      <c r="B1227" s="160" t="s">
        <v>116</v>
      </c>
      <c r="C1227" s="744">
        <f>CEILING((C1225*0.85),0.1)</f>
        <v>176.8</v>
      </c>
      <c r="D1227" s="762"/>
      <c r="E1227" s="744">
        <f>CEILING((E1225*0.85),0.1)</f>
        <v>193.4</v>
      </c>
      <c r="F1227" s="762"/>
      <c r="G1227" s="744">
        <f>CEILING((G1225*0.85),0.1)</f>
        <v>171.3</v>
      </c>
      <c r="H1227" s="762"/>
      <c r="I1227" s="728"/>
      <c r="J1227" s="729"/>
      <c r="K1227" s="729"/>
      <c r="L1227" s="729"/>
      <c r="M1227" s="729"/>
      <c r="N1227" s="729"/>
      <c r="O1227" s="556"/>
      <c r="P1227" s="556"/>
      <c r="X1227"/>
      <c r="Y1227"/>
    </row>
    <row r="1228" spans="1:25" ht="15" customHeight="1">
      <c r="A1228" s="243"/>
      <c r="B1228" s="349" t="s">
        <v>115</v>
      </c>
      <c r="C1228" s="744">
        <f>CEILING((C1225*0.5),0.1)</f>
        <v>104</v>
      </c>
      <c r="D1228" s="744"/>
      <c r="E1228" s="744">
        <f>CEILING((E1225*0.5),0.1)</f>
        <v>113.80000000000001</v>
      </c>
      <c r="F1228" s="744"/>
      <c r="G1228" s="744">
        <f>CEILING((G1225*0.5),0.1)</f>
        <v>100.80000000000001</v>
      </c>
      <c r="H1228" s="744"/>
      <c r="I1228" s="728"/>
      <c r="J1228" s="729"/>
      <c r="K1228" s="729"/>
      <c r="L1228" s="729"/>
      <c r="M1228" s="729"/>
      <c r="N1228" s="729"/>
      <c r="O1228" s="556"/>
      <c r="P1228" s="556"/>
      <c r="X1228"/>
      <c r="Y1228"/>
    </row>
    <row r="1229" spans="1:25" ht="16.5" customHeight="1">
      <c r="A1229" s="402"/>
      <c r="B1229" s="13" t="s">
        <v>433</v>
      </c>
      <c r="C1229" s="738">
        <f>_xlfn.CEILING.MATH((C1225+10*$Z$1),0.1)</f>
        <v>221</v>
      </c>
      <c r="D1229" s="770"/>
      <c r="E1229" s="738">
        <f>_xlfn.CEILING.MATH((E1225+10*$Z$1),0.1)</f>
        <v>240.5</v>
      </c>
      <c r="F1229" s="770"/>
      <c r="G1229" s="738">
        <f>_xlfn.CEILING.MATH((G1225+10*$Z$1),0.1)</f>
        <v>214.5</v>
      </c>
      <c r="H1229" s="738"/>
      <c r="I1229" s="738"/>
      <c r="J1229" s="729"/>
      <c r="K1229" s="729"/>
      <c r="L1229" s="729"/>
      <c r="M1229" s="729"/>
      <c r="N1229" s="729"/>
      <c r="O1229" s="556"/>
      <c r="P1229" s="556"/>
      <c r="X1229"/>
      <c r="Y1229"/>
    </row>
    <row r="1230" spans="1:25" ht="15">
      <c r="A1230" s="402"/>
      <c r="B1230" s="13" t="s">
        <v>434</v>
      </c>
      <c r="C1230" s="738">
        <f>_xlfn.CEILING.MATH((C1229+135*$Z$1),0.1)</f>
        <v>396.5</v>
      </c>
      <c r="D1230" s="770"/>
      <c r="E1230" s="738">
        <f>_xlfn.CEILING.MATH((E1229+135*$Z$1),0.1)</f>
        <v>416</v>
      </c>
      <c r="F1230" s="770"/>
      <c r="G1230" s="738">
        <f>_xlfn.CEILING.MATH((G1229+135*$Z$1),0.1)</f>
        <v>390</v>
      </c>
      <c r="H1230" s="738"/>
      <c r="I1230" s="738"/>
      <c r="J1230" s="729"/>
      <c r="K1230" s="729"/>
      <c r="L1230" s="729"/>
      <c r="M1230" s="729"/>
      <c r="N1230" s="729"/>
      <c r="O1230" s="877"/>
      <c r="P1230" s="877"/>
      <c r="X1230"/>
      <c r="Y1230"/>
    </row>
    <row r="1231" spans="1:16" ht="15">
      <c r="A1231" s="402"/>
      <c r="B1231" s="14" t="s">
        <v>671</v>
      </c>
      <c r="C1231" s="738">
        <f>_xlfn.CEILING.MATH((C1225+50*$Z$1),0.1)</f>
        <v>273</v>
      </c>
      <c r="D1231" s="770"/>
      <c r="E1231" s="738">
        <f>_xlfn.CEILING.MATH((E1225+50*$Z$1),0.1)</f>
        <v>292.5</v>
      </c>
      <c r="F1231" s="770"/>
      <c r="G1231" s="738">
        <f>_xlfn.CEILING.MATH((G1225+50*$Z$1),0.1)</f>
        <v>266.5</v>
      </c>
      <c r="H1231" s="738"/>
      <c r="I1231" s="738"/>
      <c r="J1231" s="729"/>
      <c r="K1231" s="729"/>
      <c r="L1231" s="729"/>
      <c r="M1231" s="729"/>
      <c r="N1231" s="729"/>
      <c r="O1231" s="729"/>
      <c r="P1231" s="729"/>
    </row>
    <row r="1232" spans="1:16" ht="16.5" thickBot="1">
      <c r="A1232" s="391" t="s">
        <v>906</v>
      </c>
      <c r="B1232" s="15" t="s">
        <v>672</v>
      </c>
      <c r="C1232" s="751">
        <f>_xlfn.CEILING.MATH((C1231+140*$Z$1),0.1)</f>
        <v>455</v>
      </c>
      <c r="D1232" s="771"/>
      <c r="E1232" s="751">
        <f>_xlfn.CEILING.MATH((E1231+140*$Z$1),0.1)</f>
        <v>474.5</v>
      </c>
      <c r="F1232" s="771"/>
      <c r="G1232" s="751">
        <f>_xlfn.CEILING.MATH((G1231+140*$Z$1),0.1)</f>
        <v>448.5</v>
      </c>
      <c r="H1232" s="771"/>
      <c r="I1232" s="738"/>
      <c r="J1232" s="729"/>
      <c r="K1232" s="729"/>
      <c r="L1232" s="729"/>
      <c r="M1232" s="729"/>
      <c r="N1232" s="729"/>
      <c r="O1232" s="729"/>
      <c r="P1232" s="729"/>
    </row>
    <row r="1233" spans="1:16" ht="15.75" thickTop="1">
      <c r="A1233" s="20" t="s">
        <v>673</v>
      </c>
      <c r="B1233" s="20"/>
      <c r="C1233" s="20"/>
      <c r="D1233" s="20"/>
      <c r="E1233" s="20"/>
      <c r="F1233" s="20"/>
      <c r="G1233" s="20"/>
      <c r="H1233" s="20"/>
      <c r="I1233" s="20"/>
      <c r="J1233" s="173"/>
      <c r="K1233" s="490"/>
      <c r="L1233" s="527"/>
      <c r="M1233" s="18"/>
      <c r="N1233" s="22"/>
      <c r="O1233" s="3"/>
      <c r="P1233" s="3"/>
    </row>
    <row r="1234" spans="1:16" ht="15">
      <c r="A1234" s="144" t="s">
        <v>674</v>
      </c>
      <c r="B1234" s="173"/>
      <c r="C1234" s="173"/>
      <c r="D1234" s="173"/>
      <c r="E1234" s="173"/>
      <c r="F1234" s="173"/>
      <c r="G1234" s="173"/>
      <c r="H1234" s="173"/>
      <c r="I1234" s="173"/>
      <c r="J1234" s="400"/>
      <c r="K1234" s="490"/>
      <c r="L1234" s="527"/>
      <c r="M1234" s="18"/>
      <c r="N1234" s="22"/>
      <c r="O1234" s="3"/>
      <c r="P1234" s="3"/>
    </row>
    <row r="1235" spans="1:16" ht="15">
      <c r="A1235" s="834" t="s">
        <v>435</v>
      </c>
      <c r="B1235" s="834"/>
      <c r="C1235" s="834"/>
      <c r="D1235" s="834"/>
      <c r="E1235" s="834"/>
      <c r="F1235" s="834"/>
      <c r="G1235" s="834"/>
      <c r="H1235" s="834"/>
      <c r="I1235" s="834"/>
      <c r="J1235" s="834"/>
      <c r="K1235" s="128"/>
      <c r="L1235" s="490"/>
      <c r="M1235" s="18"/>
      <c r="N1235" s="22"/>
      <c r="O1235" s="3"/>
      <c r="P1235" s="3"/>
    </row>
    <row r="1236" spans="1:14" ht="17.25" customHeight="1" thickBot="1">
      <c r="A1236" s="174"/>
      <c r="B1236" s="176"/>
      <c r="C1236" s="176"/>
      <c r="D1236" s="176"/>
      <c r="E1236" s="176"/>
      <c r="F1236" s="176"/>
      <c r="G1236" s="176"/>
      <c r="H1236" s="176"/>
      <c r="I1236" s="400"/>
      <c r="J1236" s="290"/>
      <c r="K1236" s="490"/>
      <c r="L1236" s="490"/>
      <c r="M1236" s="18"/>
      <c r="N1236" s="22"/>
    </row>
    <row r="1237" spans="1:14" ht="15.75" thickTop="1">
      <c r="A1237" s="1095" t="s">
        <v>74</v>
      </c>
      <c r="B1237" s="282"/>
      <c r="C1237" s="863" t="s">
        <v>665</v>
      </c>
      <c r="D1237" s="953"/>
      <c r="E1237" s="863" t="s">
        <v>666</v>
      </c>
      <c r="F1237" s="953"/>
      <c r="G1237" s="863" t="s">
        <v>675</v>
      </c>
      <c r="H1237" s="864"/>
      <c r="I1237" s="863" t="s">
        <v>676</v>
      </c>
      <c r="J1237" s="864"/>
      <c r="K1237" s="863" t="s">
        <v>668</v>
      </c>
      <c r="L1237" s="864"/>
      <c r="M1237" s="23"/>
      <c r="N1237" s="22"/>
    </row>
    <row r="1238" spans="1:14" ht="15">
      <c r="A1238" s="1096"/>
      <c r="B1238" s="138"/>
      <c r="C1238" s="124" t="s">
        <v>144</v>
      </c>
      <c r="D1238" s="124" t="s">
        <v>146</v>
      </c>
      <c r="E1238" s="124" t="s">
        <v>144</v>
      </c>
      <c r="F1238" s="124" t="s">
        <v>203</v>
      </c>
      <c r="G1238" s="124" t="s">
        <v>144</v>
      </c>
      <c r="H1238" s="125" t="s">
        <v>146</v>
      </c>
      <c r="I1238" s="124" t="s">
        <v>144</v>
      </c>
      <c r="J1238" s="125" t="s">
        <v>146</v>
      </c>
      <c r="K1238" s="124" t="s">
        <v>144</v>
      </c>
      <c r="L1238" s="125" t="s">
        <v>146</v>
      </c>
      <c r="M1238" s="4"/>
      <c r="N1238" s="3"/>
    </row>
    <row r="1239" spans="1:13" ht="15">
      <c r="A1239" s="107" t="s">
        <v>211</v>
      </c>
      <c r="B1239" s="14" t="s">
        <v>82</v>
      </c>
      <c r="C1239" s="744">
        <f>CEILING(100*$Z$1,0.1)</f>
        <v>130</v>
      </c>
      <c r="D1239" s="744">
        <f>_xlfn.CEILING.MATH((C1239+19*$Z$1),0.1)</f>
        <v>154.70000000000002</v>
      </c>
      <c r="E1239" s="744">
        <f>CEILING(140*$Z$1,0.1)</f>
        <v>182</v>
      </c>
      <c r="F1239" s="744">
        <f>_xlfn.CEILING.MATH((E1239+19*$Z$1),0.1)</f>
        <v>206.70000000000002</v>
      </c>
      <c r="G1239" s="744">
        <f>CEILING(115*$Z$1,0.1)</f>
        <v>149.5</v>
      </c>
      <c r="H1239" s="744">
        <f>_xlfn.CEILING.MATH((G1239+19*$Z$1),0.1)</f>
        <v>174.20000000000002</v>
      </c>
      <c r="I1239" s="744">
        <f>CEILING(105*$Z$1,0.1)</f>
        <v>136.5</v>
      </c>
      <c r="J1239" s="744">
        <f>_xlfn.CEILING.MATH((I1239+19*$Z$1),0.1)</f>
        <v>161.20000000000002</v>
      </c>
      <c r="K1239" s="744">
        <f>CEILING(70*$Z$1,0.1)</f>
        <v>91</v>
      </c>
      <c r="L1239" s="744">
        <f>_xlfn.CEILING.MATH((K1239+19*$Z$1),0.1)</f>
        <v>115.7</v>
      </c>
      <c r="M1239" s="4"/>
    </row>
    <row r="1240" spans="1:14" ht="15">
      <c r="A1240" s="40" t="s">
        <v>91</v>
      </c>
      <c r="B1240" s="14" t="s">
        <v>83</v>
      </c>
      <c r="C1240" s="744">
        <f>_xlfn.CEILING.MATH((C1239+100*$Z$1),0.1)</f>
        <v>260</v>
      </c>
      <c r="D1240" s="762">
        <f>_xlfn.CEILING.MATH((C1240+19*$Z$1),0.1)</f>
        <v>284.7</v>
      </c>
      <c r="E1240" s="744">
        <f>_xlfn.CEILING.MATH((E1239+100*$Z$1),0.1)</f>
        <v>312</v>
      </c>
      <c r="F1240" s="762">
        <f>_xlfn.CEILING.MATH((E1240+19*$Z$1),0.1)</f>
        <v>336.70000000000005</v>
      </c>
      <c r="G1240" s="744">
        <f>_xlfn.CEILING.MATH((G1239+100*$Z$1),0.1)</f>
        <v>279.5</v>
      </c>
      <c r="H1240" s="762">
        <f>_xlfn.CEILING.MATH((G1240+19*$Z$1),0.1)</f>
        <v>304.2</v>
      </c>
      <c r="I1240" s="744">
        <f>_xlfn.CEILING.MATH((I1239+100*$Z$1),0.1)</f>
        <v>266.5</v>
      </c>
      <c r="J1240" s="762">
        <f>_xlfn.CEILING.MATH((I1240+19*$Z$1),0.1)</f>
        <v>291.2</v>
      </c>
      <c r="K1240" s="744">
        <f>_xlfn.CEILING.MATH((K1239+100*$Z$1),0.1)</f>
        <v>221</v>
      </c>
      <c r="L1240" s="744">
        <f>_xlfn.CEILING.MATH((K1240+19*$Z$1),0.1)</f>
        <v>245.70000000000002</v>
      </c>
      <c r="M1240" s="4"/>
      <c r="N1240" s="3"/>
    </row>
    <row r="1241" spans="1:14" ht="15">
      <c r="A1241" s="39"/>
      <c r="B1241" s="161" t="s">
        <v>116</v>
      </c>
      <c r="C1241" s="744">
        <f>CEILING((C1239*0.85),0.1)</f>
        <v>110.5</v>
      </c>
      <c r="D1241" s="762">
        <f>_xlfn.CEILING.MATH((C1241+19*$Z$1),0.1)</f>
        <v>135.20000000000002</v>
      </c>
      <c r="E1241" s="744">
        <f>CEILING((E1239*0.85),0.1)</f>
        <v>154.70000000000002</v>
      </c>
      <c r="F1241" s="762">
        <f>_xlfn.CEILING.MATH((E1241+19*$Z$1),0.1)</f>
        <v>179.4</v>
      </c>
      <c r="G1241" s="744">
        <f>CEILING((G1239*0.85),0.1)</f>
        <v>127.10000000000001</v>
      </c>
      <c r="H1241" s="762">
        <f>_xlfn.CEILING.MATH((G1241+19*$Z$1),0.1)</f>
        <v>151.8</v>
      </c>
      <c r="I1241" s="744">
        <f>CEILING((I1239*0.85),0.1)</f>
        <v>116.10000000000001</v>
      </c>
      <c r="J1241" s="744">
        <f>_xlfn.CEILING.MATH((I1241+19*$Z$1),0.1)</f>
        <v>140.8</v>
      </c>
      <c r="K1241" s="762">
        <f>CEILING((K1239*0.85),0.1)</f>
        <v>77.4</v>
      </c>
      <c r="L1241" s="744">
        <f>_xlfn.CEILING.MATH((K1241+19*$Z$1),0.1)</f>
        <v>102.10000000000001</v>
      </c>
      <c r="M1241" s="4"/>
      <c r="N1241" s="3"/>
    </row>
    <row r="1242" spans="1:14" ht="15">
      <c r="A1242" s="243"/>
      <c r="B1242" s="349" t="s">
        <v>115</v>
      </c>
      <c r="C1242" s="744">
        <f aca="true" t="shared" si="8" ref="C1242:L1242">CEILING((C1239*0.5),0.1)</f>
        <v>65</v>
      </c>
      <c r="D1242" s="744">
        <f t="shared" si="8"/>
        <v>77.4</v>
      </c>
      <c r="E1242" s="744">
        <f t="shared" si="8"/>
        <v>91</v>
      </c>
      <c r="F1242" s="744">
        <f t="shared" si="8"/>
        <v>103.4</v>
      </c>
      <c r="G1242" s="744">
        <f t="shared" si="8"/>
        <v>74.8</v>
      </c>
      <c r="H1242" s="744">
        <f t="shared" si="8"/>
        <v>87.10000000000001</v>
      </c>
      <c r="I1242" s="762">
        <f t="shared" si="8"/>
        <v>68.3</v>
      </c>
      <c r="J1242" s="744">
        <f t="shared" si="8"/>
        <v>80.60000000000001</v>
      </c>
      <c r="K1242" s="762">
        <f t="shared" si="8"/>
        <v>45.5</v>
      </c>
      <c r="L1242" s="744">
        <f t="shared" si="8"/>
        <v>57.900000000000006</v>
      </c>
      <c r="M1242" s="4"/>
      <c r="N1242" s="3"/>
    </row>
    <row r="1243" spans="1:14" ht="15">
      <c r="A1243" s="39"/>
      <c r="B1243" s="12" t="s">
        <v>212</v>
      </c>
      <c r="C1243" s="738">
        <f>_xlfn.CEILING.MATH((C1239+8*$Z$1),0.1)</f>
        <v>140.4</v>
      </c>
      <c r="D1243" s="770">
        <f>_xlfn.CEILING.MATH((C1243+19*$Z$1),0.1)</f>
        <v>165.10000000000002</v>
      </c>
      <c r="E1243" s="738">
        <f>_xlfn.CEILING.MATH((E1239+8*$Z$1),0.1)</f>
        <v>192.4</v>
      </c>
      <c r="F1243" s="770">
        <f>_xlfn.CEILING.MATH((E1243+19*$Z$1),0.1)</f>
        <v>217.10000000000002</v>
      </c>
      <c r="G1243" s="738">
        <f>_xlfn.CEILING.MATH((G1239+8*$Z$1),0.1)</f>
        <v>159.9</v>
      </c>
      <c r="H1243" s="770">
        <f>_xlfn.CEILING.MATH((G1243+19*$Z$1),0.1)</f>
        <v>184.60000000000002</v>
      </c>
      <c r="I1243" s="738">
        <f>_xlfn.CEILING.MATH((I1239+8*$Z$1),0.1)</f>
        <v>146.9</v>
      </c>
      <c r="J1243" s="770">
        <f>_xlfn.CEILING.MATH((I1243+19*$Z$1),0.1)</f>
        <v>171.60000000000002</v>
      </c>
      <c r="K1243" s="738">
        <f>_xlfn.CEILING.MATH((K1239+8*$Z$1),0.1)</f>
        <v>101.4</v>
      </c>
      <c r="L1243" s="770">
        <f>_xlfn.CEILING.MATH((K1243+19*$Z$1),0.1)</f>
        <v>126.10000000000001</v>
      </c>
      <c r="M1243" s="23"/>
      <c r="N1243" s="22"/>
    </row>
    <row r="1244" spans="1:14" ht="16.5" thickBot="1">
      <c r="A1244" s="391" t="s">
        <v>905</v>
      </c>
      <c r="B1244" s="49" t="s">
        <v>213</v>
      </c>
      <c r="C1244" s="751">
        <f>_xlfn.CEILING.MATH((C1243+100*$Z$1),0.1)</f>
        <v>270.40000000000003</v>
      </c>
      <c r="D1244" s="771">
        <f>_xlfn.CEILING.MATH((C1244+19*$Z$1),0.1)</f>
        <v>295.1</v>
      </c>
      <c r="E1244" s="751">
        <f>_xlfn.CEILING.MATH((E1243+100*$Z$1),0.1)</f>
        <v>322.40000000000003</v>
      </c>
      <c r="F1244" s="771">
        <f>_xlfn.CEILING.MATH((E1244+19*$Z$1),0.1)</f>
        <v>347.1</v>
      </c>
      <c r="G1244" s="751">
        <f>_xlfn.CEILING.MATH((G1243+100*$Z$1),0.1)</f>
        <v>289.90000000000003</v>
      </c>
      <c r="H1244" s="771">
        <f>_xlfn.CEILING.MATH((G1244+19*$Z$1),0.1)</f>
        <v>314.6</v>
      </c>
      <c r="I1244" s="751">
        <f>_xlfn.CEILING.MATH((I1243+100*$Z$1),0.1)</f>
        <v>276.90000000000003</v>
      </c>
      <c r="J1244" s="771">
        <f>_xlfn.CEILING.MATH((I1244+19*$Z$1),0.1)</f>
        <v>301.6</v>
      </c>
      <c r="K1244" s="771">
        <f>_xlfn.CEILING.MATH((K1243+100*$Z$1),0.1)</f>
        <v>231.4</v>
      </c>
      <c r="L1244" s="771">
        <f>_xlfn.CEILING.MATH((K1244+19*$Z$1),0.1)</f>
        <v>256.1</v>
      </c>
      <c r="M1244" s="23"/>
      <c r="N1244" s="22"/>
    </row>
    <row r="1245" spans="1:13" ht="15.75" thickTop="1">
      <c r="A1245" s="20" t="s">
        <v>673</v>
      </c>
      <c r="B1245" s="20"/>
      <c r="C1245" s="20"/>
      <c r="D1245" s="20"/>
      <c r="E1245" s="20"/>
      <c r="F1245" s="20"/>
      <c r="G1245" s="20"/>
      <c r="H1245" s="20"/>
      <c r="I1245" s="768"/>
      <c r="J1245" s="769"/>
      <c r="K1245" s="128"/>
      <c r="L1245" s="128"/>
      <c r="M1245" s="244"/>
    </row>
    <row r="1246" spans="1:13" ht="15">
      <c r="A1246" s="144" t="s">
        <v>677</v>
      </c>
      <c r="B1246" s="173"/>
      <c r="C1246" s="173"/>
      <c r="D1246" s="173"/>
      <c r="E1246" s="173"/>
      <c r="F1246" s="173"/>
      <c r="G1246" s="173"/>
      <c r="H1246" s="173"/>
      <c r="I1246" s="769"/>
      <c r="J1246" s="769"/>
      <c r="K1246" s="128"/>
      <c r="L1246" s="128"/>
      <c r="M1246" s="244"/>
    </row>
    <row r="1247" spans="1:13" ht="15">
      <c r="A1247" s="834" t="s">
        <v>305</v>
      </c>
      <c r="B1247" s="834"/>
      <c r="C1247" s="834"/>
      <c r="D1247" s="834"/>
      <c r="E1247" s="834"/>
      <c r="F1247" s="834"/>
      <c r="G1247" s="834"/>
      <c r="H1247" s="834"/>
      <c r="I1247" s="834"/>
      <c r="J1247" s="834"/>
      <c r="K1247" s="128"/>
      <c r="L1247" s="502"/>
      <c r="M1247" s="244"/>
    </row>
    <row r="1248" spans="1:13" ht="15.75" thickBot="1">
      <c r="A1248" s="144"/>
      <c r="B1248" s="173"/>
      <c r="C1248" s="597"/>
      <c r="D1248" s="597"/>
      <c r="E1248" s="597"/>
      <c r="F1248" s="597"/>
      <c r="G1248" s="597"/>
      <c r="H1248" s="597"/>
      <c r="I1248" s="597"/>
      <c r="J1248" s="586"/>
      <c r="K1248" s="524"/>
      <c r="L1248" s="476"/>
      <c r="M1248" s="244"/>
    </row>
    <row r="1249" spans="1:13" ht="15.75" customHeight="1" thickTop="1">
      <c r="A1249" s="1033" t="s">
        <v>74</v>
      </c>
      <c r="B1249" s="1031"/>
      <c r="C1249" s="1098"/>
      <c r="D1249" s="1098"/>
      <c r="E1249" s="1098" t="s">
        <v>714</v>
      </c>
      <c r="F1249" s="1098"/>
      <c r="G1249" s="976" t="s">
        <v>874</v>
      </c>
      <c r="H1249" s="956"/>
      <c r="I1249" s="960"/>
      <c r="J1249" s="960"/>
      <c r="K1249" s="960"/>
      <c r="L1249" s="860"/>
      <c r="M1249" s="625"/>
    </row>
    <row r="1250" spans="1:13" ht="15.75" customHeight="1">
      <c r="A1250" s="1034"/>
      <c r="B1250" s="1097"/>
      <c r="C1250" s="1098" t="s">
        <v>872</v>
      </c>
      <c r="D1250" s="1098"/>
      <c r="E1250" s="960" t="s">
        <v>873</v>
      </c>
      <c r="F1250" s="960"/>
      <c r="G1250" s="976" t="s">
        <v>875</v>
      </c>
      <c r="H1250" s="956"/>
      <c r="I1250" s="960" t="s">
        <v>876</v>
      </c>
      <c r="J1250" s="860"/>
      <c r="K1250" s="865" t="s">
        <v>851</v>
      </c>
      <c r="L1250" s="1099"/>
      <c r="M1250" s="625"/>
    </row>
    <row r="1251" spans="1:13" ht="15">
      <c r="A1251" s="862"/>
      <c r="B1251" s="1032"/>
      <c r="C1251" s="124" t="s">
        <v>144</v>
      </c>
      <c r="D1251" s="124" t="s">
        <v>146</v>
      </c>
      <c r="E1251" s="124" t="s">
        <v>144</v>
      </c>
      <c r="F1251" s="124" t="s">
        <v>146</v>
      </c>
      <c r="G1251" s="124" t="s">
        <v>144</v>
      </c>
      <c r="H1251" s="124" t="s">
        <v>146</v>
      </c>
      <c r="I1251" s="124" t="s">
        <v>144</v>
      </c>
      <c r="J1251" s="125" t="s">
        <v>146</v>
      </c>
      <c r="K1251" s="124" t="s">
        <v>144</v>
      </c>
      <c r="L1251" s="125" t="s">
        <v>146</v>
      </c>
      <c r="M1251" s="625"/>
    </row>
    <row r="1252" spans="1:13" ht="15">
      <c r="A1252" s="107" t="s">
        <v>575</v>
      </c>
      <c r="B1252" s="14" t="s">
        <v>82</v>
      </c>
      <c r="C1252" s="752">
        <f>CEILING(110*$Z$1,0.1)</f>
        <v>143</v>
      </c>
      <c r="D1252" s="752">
        <f>_xlfn.CEILING.MATH((C1252+20*$Z$1),0.1)</f>
        <v>169</v>
      </c>
      <c r="E1252" s="752">
        <f>CEILING(170*$Z$1,0.1)</f>
        <v>221</v>
      </c>
      <c r="F1252" s="752">
        <f>_xlfn.CEILING.MATH((E1252+20*$Z$1),0.1)</f>
        <v>247</v>
      </c>
      <c r="G1252" s="752">
        <f>CEILING(140*$Z$1,0.1)</f>
        <v>182</v>
      </c>
      <c r="H1252" s="752">
        <f>_xlfn.CEILING.MATH((G1252+20*$Z$1),0.1)</f>
        <v>208</v>
      </c>
      <c r="I1252" s="752">
        <f>CEILING(90*$Z$1,0.1)</f>
        <v>117</v>
      </c>
      <c r="J1252" s="752">
        <f>_xlfn.CEILING.MATH((I1252+20*$Z$1),0.1)</f>
        <v>143</v>
      </c>
      <c r="K1252" s="752">
        <f>CEILING(170*$Z$1,0.1)</f>
        <v>221</v>
      </c>
      <c r="L1252" s="752">
        <f>_xlfn.CEILING.MATH((K1252+20*$Z$1),0.1)</f>
        <v>247</v>
      </c>
      <c r="M1252" s="625"/>
    </row>
    <row r="1253" spans="1:13" ht="15">
      <c r="A1253" s="40" t="s">
        <v>76</v>
      </c>
      <c r="B1253" s="14" t="s">
        <v>83</v>
      </c>
      <c r="C1253" s="744">
        <f>_xlfn.CEILING.MATH((C1252+50*$Z$1),0.1)</f>
        <v>208</v>
      </c>
      <c r="D1253" s="762">
        <f>_xlfn.CEILING.MATH((C1253+20*$Z$1),0.1)</f>
        <v>234</v>
      </c>
      <c r="E1253" s="744">
        <f>_xlfn.CEILING.MATH((E1252+60*$Z$1),0.1)</f>
        <v>299</v>
      </c>
      <c r="F1253" s="762">
        <f>_xlfn.CEILING.MATH((E1253+20*$Z$1),0.1)</f>
        <v>325</v>
      </c>
      <c r="G1253" s="744">
        <f>_xlfn.CEILING.MATH((G1252+50*$Z$1),0.1)</f>
        <v>247</v>
      </c>
      <c r="H1253" s="762">
        <f>_xlfn.CEILING.MATH((G1253+20*$Z$1),0.1)</f>
        <v>273</v>
      </c>
      <c r="I1253" s="744">
        <f>_xlfn.CEILING.MATH((I1252+50*$Z$1),0.1)</f>
        <v>182</v>
      </c>
      <c r="J1253" s="762">
        <f>_xlfn.CEILING.MATH((I1253+20*$Z$1),0.1)</f>
        <v>208</v>
      </c>
      <c r="K1253" s="744">
        <f>_xlfn.CEILING.MATH((K1252+60*$Z$1),0.1)</f>
        <v>299</v>
      </c>
      <c r="L1253" s="779">
        <f>_xlfn.CEILING.MATH((K1253+20*$Z$1),0.1)</f>
        <v>325</v>
      </c>
      <c r="M1253" s="625"/>
    </row>
    <row r="1254" spans="1:25" ht="15">
      <c r="A1254" s="40" t="s">
        <v>574</v>
      </c>
      <c r="B1254" s="161" t="s">
        <v>116</v>
      </c>
      <c r="C1254" s="744">
        <f>CEILING((C1252*0.85),0.1)</f>
        <v>121.60000000000001</v>
      </c>
      <c r="D1254" s="762">
        <f>_xlfn.CEILING.MATH((C1254+20*$Z$1),0.1)</f>
        <v>147.6</v>
      </c>
      <c r="E1254" s="744">
        <f>CEILING((E1252*0.85),0.1)</f>
        <v>187.9</v>
      </c>
      <c r="F1254" s="762">
        <f>_xlfn.CEILING.MATH((E1254+20*$Z$1),0.1)</f>
        <v>213.9</v>
      </c>
      <c r="G1254" s="744">
        <f>CEILING((G1252*0.85),0.1)</f>
        <v>154.70000000000002</v>
      </c>
      <c r="H1254" s="762">
        <f>_xlfn.CEILING.MATH((G1254+20*$Z$1),0.1)</f>
        <v>180.70000000000002</v>
      </c>
      <c r="I1254" s="744">
        <f>CEILING((I1252*0.85),0.1)</f>
        <v>99.5</v>
      </c>
      <c r="J1254" s="762">
        <f>_xlfn.CEILING.MATH((I1254+20*$Z$1),0.1)</f>
        <v>125.5</v>
      </c>
      <c r="K1254" s="744">
        <f>CEILING((K1252*0.85),0.1)</f>
        <v>187.9</v>
      </c>
      <c r="L1254" s="779">
        <f>_xlfn.CEILING.MATH((K1254+20*$Z$1),0.1)</f>
        <v>213.9</v>
      </c>
      <c r="M1254" s="625"/>
      <c r="Y1254"/>
    </row>
    <row r="1255" spans="1:13" ht="15.75" thickBot="1">
      <c r="A1255" s="46" t="s">
        <v>904</v>
      </c>
      <c r="B1255" s="205" t="s">
        <v>115</v>
      </c>
      <c r="C1255" s="751">
        <f>CEILING((C1252*0.5),0.1)</f>
        <v>71.5</v>
      </c>
      <c r="D1255" s="751">
        <f>CEILING((D1252*0.5),0.1)</f>
        <v>84.5</v>
      </c>
      <c r="E1255" s="751">
        <f aca="true" t="shared" si="9" ref="E1255:J1255">CEILING((E1252*0.5),0.1)</f>
        <v>110.5</v>
      </c>
      <c r="F1255" s="751">
        <f t="shared" si="9"/>
        <v>123.5</v>
      </c>
      <c r="G1255" s="751">
        <f t="shared" si="9"/>
        <v>91</v>
      </c>
      <c r="H1255" s="751">
        <f t="shared" si="9"/>
        <v>104</v>
      </c>
      <c r="I1255" s="763">
        <f t="shared" si="9"/>
        <v>58.5</v>
      </c>
      <c r="J1255" s="771">
        <f t="shared" si="9"/>
        <v>71.5</v>
      </c>
      <c r="K1255" s="751">
        <f>CEILING((K1252*0.5),0.1)</f>
        <v>110.5</v>
      </c>
      <c r="L1255" s="751">
        <f>CEILING((L1252*0.5),0.1)</f>
        <v>123.5</v>
      </c>
      <c r="M1255" s="625"/>
    </row>
    <row r="1256" spans="1:13" ht="17.25" customHeight="1" thickTop="1">
      <c r="A1256" s="1030" t="s">
        <v>871</v>
      </c>
      <c r="B1256" s="1030"/>
      <c r="C1256" s="1030"/>
      <c r="D1256" s="1030"/>
      <c r="E1256" s="1030"/>
      <c r="F1256" s="1030"/>
      <c r="G1256" s="1030"/>
      <c r="H1256" s="1030"/>
      <c r="I1256" s="1030"/>
      <c r="J1256" s="1030"/>
      <c r="K1256" s="128"/>
      <c r="L1256" s="241"/>
      <c r="M1256" s="244"/>
    </row>
    <row r="1257" spans="1:13" ht="17.25" customHeight="1">
      <c r="A1257" s="20" t="s">
        <v>576</v>
      </c>
      <c r="B1257" s="144"/>
      <c r="C1257" s="144"/>
      <c r="D1257" s="144"/>
      <c r="E1257" s="144"/>
      <c r="F1257" s="144"/>
      <c r="G1257" s="144"/>
      <c r="H1257" s="144"/>
      <c r="I1257" s="144"/>
      <c r="J1257" s="144"/>
      <c r="K1257" s="128"/>
      <c r="L1257" s="241"/>
      <c r="M1257" s="244"/>
    </row>
    <row r="1258" spans="1:13" ht="18.75" customHeight="1" thickBot="1">
      <c r="A1258" s="150"/>
      <c r="B1258" s="150"/>
      <c r="C1258" s="150"/>
      <c r="D1258" s="150"/>
      <c r="E1258" s="150"/>
      <c r="F1258" s="150"/>
      <c r="G1258" s="150"/>
      <c r="H1258" s="150"/>
      <c r="I1258" s="144"/>
      <c r="J1258" s="290"/>
      <c r="K1258" s="508"/>
      <c r="L1258" s="503"/>
      <c r="M1258" s="244"/>
    </row>
    <row r="1259" spans="1:13" ht="18.75" customHeight="1" thickTop="1">
      <c r="A1259" s="279" t="s">
        <v>74</v>
      </c>
      <c r="B1259" s="274"/>
      <c r="C1259" s="863" t="s">
        <v>665</v>
      </c>
      <c r="D1259" s="953"/>
      <c r="E1259" s="1028" t="s">
        <v>716</v>
      </c>
      <c r="F1259" s="1029"/>
      <c r="G1259" s="863" t="s">
        <v>723</v>
      </c>
      <c r="H1259" s="864"/>
      <c r="I1259" s="934"/>
      <c r="J1259" s="933"/>
      <c r="K1259" s="833"/>
      <c r="L1259" s="503"/>
      <c r="M1259" s="244"/>
    </row>
    <row r="1260" spans="1:13" ht="15.75" customHeight="1">
      <c r="A1260" s="298"/>
      <c r="B1260" s="58"/>
      <c r="C1260" s="249" t="s">
        <v>144</v>
      </c>
      <c r="D1260" s="249" t="s">
        <v>146</v>
      </c>
      <c r="E1260" s="249" t="s">
        <v>144</v>
      </c>
      <c r="F1260" s="249" t="s">
        <v>146</v>
      </c>
      <c r="G1260" s="249" t="s">
        <v>144</v>
      </c>
      <c r="H1260" s="832" t="s">
        <v>146</v>
      </c>
      <c r="I1260" s="596"/>
      <c r="J1260" s="593"/>
      <c r="K1260" s="833"/>
      <c r="L1260" s="511"/>
      <c r="M1260" s="244"/>
    </row>
    <row r="1261" spans="1:13" ht="16.5" customHeight="1">
      <c r="A1261" s="329" t="s">
        <v>214</v>
      </c>
      <c r="B1261" s="325" t="s">
        <v>82</v>
      </c>
      <c r="C1261" s="823">
        <f>CEILING(100*$Z$1,0.1)</f>
        <v>130</v>
      </c>
      <c r="D1261" s="823">
        <f>CEILING((C1261+20*$Z$1),0.1)</f>
        <v>156</v>
      </c>
      <c r="E1261" s="823">
        <f>CEILING(125*$Z$1,0.1)</f>
        <v>162.5</v>
      </c>
      <c r="F1261" s="823">
        <f>CEILING((E1261+20*$Z$1),0.1)</f>
        <v>188.5</v>
      </c>
      <c r="G1261" s="823">
        <f>CEILING(100*$Z$1,0.1)</f>
        <v>130</v>
      </c>
      <c r="H1261" s="823">
        <f>CEILING((G1261+20*$Z$1),0.1)</f>
        <v>156</v>
      </c>
      <c r="I1261" s="825"/>
      <c r="J1261" s="826"/>
      <c r="K1261" s="128"/>
      <c r="L1261" s="508"/>
      <c r="M1261" s="244"/>
    </row>
    <row r="1262" spans="1:13" ht="15" customHeight="1">
      <c r="A1262" s="262" t="s">
        <v>91</v>
      </c>
      <c r="B1262" s="201" t="s">
        <v>83</v>
      </c>
      <c r="C1262" s="824">
        <f>CEILING((C1261+50*$Z$1),0.1)</f>
        <v>195</v>
      </c>
      <c r="D1262" s="762">
        <f>CEILING((C1262+20*$Z$1),0.1)</f>
        <v>221</v>
      </c>
      <c r="E1262" s="824">
        <f>CEILING((E1261+60*$Z$1),0.1)</f>
        <v>240.5</v>
      </c>
      <c r="F1262" s="762">
        <f>CEILING((E1262+20*$Z$1),0.1)</f>
        <v>266.5</v>
      </c>
      <c r="G1262" s="824">
        <f>CEILING((G1261+50*$Z$1),0.1)</f>
        <v>195</v>
      </c>
      <c r="H1262" s="762">
        <f>CEILING((G1262+20*$Z$1),0.1)</f>
        <v>221</v>
      </c>
      <c r="I1262" s="794"/>
      <c r="J1262" s="826"/>
      <c r="K1262" s="128"/>
      <c r="L1262" s="508"/>
      <c r="M1262" s="244"/>
    </row>
    <row r="1263" spans="1:13" ht="16.5" customHeight="1">
      <c r="A1263" s="315"/>
      <c r="B1263" s="386" t="s">
        <v>116</v>
      </c>
      <c r="C1263" s="824">
        <f>CEILING((C1261*0.85),0.1)</f>
        <v>110.5</v>
      </c>
      <c r="D1263" s="762">
        <f>CEILING((C1263+20*$Z$1),0.1)</f>
        <v>136.5</v>
      </c>
      <c r="E1263" s="824">
        <f>CEILING((E1261*0.85),0.1)</f>
        <v>138.20000000000002</v>
      </c>
      <c r="F1263" s="762">
        <f>CEILING((E1263+20*$Z$1),0.1)</f>
        <v>164.20000000000002</v>
      </c>
      <c r="G1263" s="824">
        <f>CEILING((G1261*0.85),0.1)</f>
        <v>110.5</v>
      </c>
      <c r="H1263" s="762">
        <f>CEILING((G1263+20*$Z$1),0.1)</f>
        <v>136.5</v>
      </c>
      <c r="I1263" s="825"/>
      <c r="J1263" s="826"/>
      <c r="K1263" s="128"/>
      <c r="L1263" s="508"/>
      <c r="M1263" s="244"/>
    </row>
    <row r="1264" spans="1:13" ht="15" customHeight="1">
      <c r="A1264" s="387"/>
      <c r="B1264" s="205" t="s">
        <v>115</v>
      </c>
      <c r="C1264" s="824">
        <f aca="true" t="shared" si="10" ref="C1264:H1264">CEILING((C1261*0.5),0.1)</f>
        <v>65</v>
      </c>
      <c r="D1264" s="824">
        <f t="shared" si="10"/>
        <v>78</v>
      </c>
      <c r="E1264" s="824">
        <f t="shared" si="10"/>
        <v>81.30000000000001</v>
      </c>
      <c r="F1264" s="824">
        <f t="shared" si="10"/>
        <v>94.30000000000001</v>
      </c>
      <c r="G1264" s="824">
        <f t="shared" si="10"/>
        <v>65</v>
      </c>
      <c r="H1264" s="824">
        <f t="shared" si="10"/>
        <v>78</v>
      </c>
      <c r="I1264" s="825"/>
      <c r="J1264" s="826"/>
      <c r="K1264" s="128"/>
      <c r="L1264" s="508"/>
      <c r="M1264" s="244"/>
    </row>
    <row r="1265" spans="1:13" ht="16.5" customHeight="1">
      <c r="A1265" s="387"/>
      <c r="B1265" s="201" t="s">
        <v>196</v>
      </c>
      <c r="C1265" s="824">
        <f>CEILING(160*$Z$1,0.1)</f>
        <v>208</v>
      </c>
      <c r="D1265" s="762">
        <f>CEILING((C1265+20*$Z$1),0.1)</f>
        <v>234</v>
      </c>
      <c r="E1265" s="824">
        <f>CEILING(185*$Z$1,0.1)</f>
        <v>240.5</v>
      </c>
      <c r="F1265" s="762">
        <f>CEILING((E1265+20*$Z$1),0.1)</f>
        <v>266.5</v>
      </c>
      <c r="G1265" s="824">
        <f>CEILING(160*$Z$1,0.1)</f>
        <v>208</v>
      </c>
      <c r="H1265" s="762">
        <f>CEILING((G1265+20*$Z$1),0.1)</f>
        <v>234</v>
      </c>
      <c r="I1265" s="825"/>
      <c r="J1265" s="826"/>
      <c r="K1265" s="128"/>
      <c r="L1265" s="508"/>
      <c r="M1265" s="244"/>
    </row>
    <row r="1266" spans="1:13" ht="16.5" customHeight="1" thickBot="1">
      <c r="A1266" s="573" t="s">
        <v>903</v>
      </c>
      <c r="B1266" s="208" t="s">
        <v>358</v>
      </c>
      <c r="C1266" s="827">
        <f>CEILING(210*$Z$1,0.1)</f>
        <v>273</v>
      </c>
      <c r="D1266" s="763">
        <f>CEILING((C1266+20*$Z$1),0.1)</f>
        <v>299</v>
      </c>
      <c r="E1266" s="827">
        <f>CEILING(230*$Z$1,0.1)</f>
        <v>299</v>
      </c>
      <c r="F1266" s="763">
        <f>CEILING((E1266+20*$Z$1),0.1)</f>
        <v>325</v>
      </c>
      <c r="G1266" s="827">
        <f>CEILING(210*$Z$1,0.1)</f>
        <v>273</v>
      </c>
      <c r="H1266" s="763">
        <f>CEILING((G1266+20*$Z$1),0.1)</f>
        <v>299</v>
      </c>
      <c r="I1266" s="825"/>
      <c r="J1266" s="826"/>
      <c r="K1266" s="128"/>
      <c r="L1266" s="508"/>
      <c r="M1266" s="244"/>
    </row>
    <row r="1267" spans="1:13" ht="16.5" customHeight="1" thickTop="1">
      <c r="A1267" s="172" t="s">
        <v>992</v>
      </c>
      <c r="B1267" s="222"/>
      <c r="C1267" s="222"/>
      <c r="D1267" s="222"/>
      <c r="E1267" s="222"/>
      <c r="F1267" s="222"/>
      <c r="G1267" s="222"/>
      <c r="H1267" s="222"/>
      <c r="I1267" s="199"/>
      <c r="J1267" s="667"/>
      <c r="K1267" s="506"/>
      <c r="L1267" s="508"/>
      <c r="M1267" s="244"/>
    </row>
    <row r="1268" spans="1:21" ht="20.25" customHeight="1" thickBot="1">
      <c r="A1268" s="150"/>
      <c r="B1268" s="150"/>
      <c r="C1268" s="144"/>
      <c r="D1268" s="144"/>
      <c r="E1268" s="144"/>
      <c r="F1268" s="144"/>
      <c r="G1268" s="144"/>
      <c r="H1268" s="144"/>
      <c r="I1268" s="144"/>
      <c r="J1268" s="144"/>
      <c r="K1268" s="490"/>
      <c r="L1268" s="490"/>
      <c r="M1268" s="933"/>
      <c r="N1268" s="933"/>
      <c r="R1268" s="933"/>
      <c r="S1268" s="933"/>
      <c r="T1268" s="933"/>
      <c r="U1268" s="933"/>
    </row>
    <row r="1269" spans="1:21" ht="17.25" customHeight="1" thickTop="1">
      <c r="A1269" s="279" t="s">
        <v>74</v>
      </c>
      <c r="B1269" s="274"/>
      <c r="C1269" s="863" t="s">
        <v>682</v>
      </c>
      <c r="D1269" s="953"/>
      <c r="E1269" s="1028" t="s">
        <v>683</v>
      </c>
      <c r="F1269" s="1029"/>
      <c r="G1269" s="852" t="s">
        <v>784</v>
      </c>
      <c r="H1269" s="853"/>
      <c r="I1269" s="863" t="s">
        <v>710</v>
      </c>
      <c r="J1269" s="953"/>
      <c r="K1269" s="1108" t="s">
        <v>825</v>
      </c>
      <c r="L1269" s="1109"/>
      <c r="M1269" s="934"/>
      <c r="N1269" s="933"/>
      <c r="R1269" s="17"/>
      <c r="S1269" s="17"/>
      <c r="T1269" s="17"/>
      <c r="U1269" s="17"/>
    </row>
    <row r="1270" spans="1:25" ht="15">
      <c r="A1270" s="298"/>
      <c r="B1270" s="58"/>
      <c r="C1270" s="249" t="s">
        <v>144</v>
      </c>
      <c r="D1270" s="249" t="s">
        <v>146</v>
      </c>
      <c r="E1270" s="249" t="s">
        <v>144</v>
      </c>
      <c r="F1270" s="249" t="s">
        <v>146</v>
      </c>
      <c r="G1270" s="249" t="s">
        <v>144</v>
      </c>
      <c r="H1270" s="299" t="s">
        <v>146</v>
      </c>
      <c r="I1270" s="249" t="s">
        <v>144</v>
      </c>
      <c r="J1270" s="296" t="s">
        <v>146</v>
      </c>
      <c r="K1270" s="249" t="s">
        <v>144</v>
      </c>
      <c r="L1270" s="296" t="s">
        <v>146</v>
      </c>
      <c r="M1270" s="596"/>
      <c r="N1270" s="593"/>
      <c r="R1270" s="3"/>
      <c r="S1270" s="3"/>
      <c r="T1270" s="3"/>
      <c r="U1270" s="3"/>
      <c r="W1270" s="936"/>
      <c r="X1270" s="936"/>
      <c r="Y1270" s="936"/>
    </row>
    <row r="1271" spans="1:25" ht="15">
      <c r="A1271" s="329" t="s">
        <v>360</v>
      </c>
      <c r="B1271" s="325" t="s">
        <v>82</v>
      </c>
      <c r="C1271" s="744">
        <f>CEILING(115*$Z$1,0.1)</f>
        <v>149.5</v>
      </c>
      <c r="D1271" s="744">
        <f>_xlfn.CEILING.MATH((C1271+20*$Z$1),0.1)</f>
        <v>175.5</v>
      </c>
      <c r="E1271" s="744">
        <f>CEILING(105*$Z$1,0.1)</f>
        <v>136.5</v>
      </c>
      <c r="F1271" s="744">
        <f>_xlfn.CEILING.MATH((E1271+20*$Z$1),0.1)</f>
        <v>162.5</v>
      </c>
      <c r="G1271" s="744">
        <f>CEILING(152*$Z$1,0.1)</f>
        <v>197.60000000000002</v>
      </c>
      <c r="H1271" s="744">
        <f>_xlfn.CEILING.MATH((G1271+20*$Z$1),0.1)</f>
        <v>223.60000000000002</v>
      </c>
      <c r="I1271" s="744">
        <f>CEILING(115*$Z$1,0.1)</f>
        <v>149.5</v>
      </c>
      <c r="J1271" s="744">
        <f>_xlfn.CEILING.MATH((I1271+20*$Z$1),0.1)</f>
        <v>175.5</v>
      </c>
      <c r="K1271" s="744">
        <f>CEILING(129*$Z$1,0.1)</f>
        <v>167.70000000000002</v>
      </c>
      <c r="L1271" s="744">
        <f>_xlfn.CEILING.MATH((K1271+20*$Z$1),0.1)</f>
        <v>193.70000000000002</v>
      </c>
      <c r="M1271" s="740"/>
      <c r="N1271" s="741"/>
      <c r="R1271" s="436"/>
      <c r="S1271" s="3"/>
      <c r="T1271" s="436"/>
      <c r="U1271" s="3"/>
      <c r="W1271" s="936"/>
      <c r="X1271" s="936"/>
      <c r="Y1271" s="936"/>
    </row>
    <row r="1272" spans="1:25" ht="15">
      <c r="A1272" s="262" t="s">
        <v>91</v>
      </c>
      <c r="B1272" s="201" t="s">
        <v>83</v>
      </c>
      <c r="C1272" s="744">
        <f>CEILING(196*$Z$1,0.1)</f>
        <v>254.8</v>
      </c>
      <c r="D1272" s="762">
        <f>_xlfn.CEILING.MATH((C1272+20*$Z$1),0.1)</f>
        <v>280.8</v>
      </c>
      <c r="E1272" s="744">
        <f>CEILING(179*$Z$1,0.1)</f>
        <v>232.70000000000002</v>
      </c>
      <c r="F1272" s="762">
        <f>_xlfn.CEILING.MATH((E1272+20*$Z$1),0.1)</f>
        <v>258.7</v>
      </c>
      <c r="G1272" s="744">
        <f>CEILING(258*$Z$1,0.1)</f>
        <v>335.40000000000003</v>
      </c>
      <c r="H1272" s="762">
        <f>_xlfn.CEILING.MATH((G1272+20*$Z$1),0.1)</f>
        <v>361.40000000000003</v>
      </c>
      <c r="I1272" s="744">
        <f>CEILING(196*$Z$1,0.1)</f>
        <v>254.8</v>
      </c>
      <c r="J1272" s="762">
        <f>_xlfn.CEILING.MATH((I1272+20*$Z$1),0.1)</f>
        <v>280.8</v>
      </c>
      <c r="K1272" s="744">
        <f>CEILING(219*$Z$1,0.1)</f>
        <v>284.7</v>
      </c>
      <c r="L1272" s="762">
        <f>_xlfn.CEILING.MATH((K1272+20*$Z$1),0.1)</f>
        <v>310.70000000000005</v>
      </c>
      <c r="M1272" s="794"/>
      <c r="N1272" s="741"/>
      <c r="R1272" s="3"/>
      <c r="S1272" s="3"/>
      <c r="T1272" s="3"/>
      <c r="U1272" s="3"/>
      <c r="W1272" s="936"/>
      <c r="X1272" s="936"/>
      <c r="Y1272" s="936"/>
    </row>
    <row r="1273" spans="1:25" ht="15">
      <c r="A1273" s="315"/>
      <c r="B1273" s="386" t="s">
        <v>116</v>
      </c>
      <c r="C1273" s="744">
        <f>CEILING((C1271*0.85),0.1)</f>
        <v>127.10000000000001</v>
      </c>
      <c r="D1273" s="762">
        <f>_xlfn.CEILING.MATH((C1273+20*$Z$1),0.1)</f>
        <v>153.1</v>
      </c>
      <c r="E1273" s="744">
        <f>CEILING((E1271*0.85),0.1)</f>
        <v>116.10000000000001</v>
      </c>
      <c r="F1273" s="762">
        <f>_xlfn.CEILING.MATH((E1273+20*$Z$1),0.1)</f>
        <v>142.1</v>
      </c>
      <c r="G1273" s="744">
        <f>CEILING((G1271*0.85),0.1)</f>
        <v>168</v>
      </c>
      <c r="H1273" s="762">
        <f>_xlfn.CEILING.MATH((G1273+20*$Z$1),0.1)</f>
        <v>194</v>
      </c>
      <c r="I1273" s="744">
        <f>CEILING((I1271*0.85),0.1)</f>
        <v>127.10000000000001</v>
      </c>
      <c r="J1273" s="762">
        <f>_xlfn.CEILING.MATH((I1273+20*$Z$1),0.1)</f>
        <v>153.1</v>
      </c>
      <c r="K1273" s="744">
        <f>CEILING((K1271*0.85),0.1)</f>
        <v>142.6</v>
      </c>
      <c r="L1273" s="762">
        <f>_xlfn.CEILING.MATH((K1273+20*$Z$1),0.1)</f>
        <v>168.60000000000002</v>
      </c>
      <c r="M1273" s="740"/>
      <c r="N1273" s="741"/>
      <c r="R1273" s="3"/>
      <c r="S1273" s="3"/>
      <c r="T1273" s="3"/>
      <c r="U1273" s="3"/>
      <c r="W1273" s="936"/>
      <c r="X1273" s="936"/>
      <c r="Y1273" s="936"/>
    </row>
    <row r="1274" spans="1:25" ht="15">
      <c r="A1274" s="434"/>
      <c r="B1274" s="212" t="s">
        <v>107</v>
      </c>
      <c r="C1274" s="744">
        <f>CEILING((C1271*0.5),0.1)</f>
        <v>74.8</v>
      </c>
      <c r="D1274" s="762">
        <f>_xlfn.CEILING.MATH((C1274+15*$Z$1),0.1)</f>
        <v>94.30000000000001</v>
      </c>
      <c r="E1274" s="744">
        <f>CEILING((E1271*0.5),0.1)</f>
        <v>68.3</v>
      </c>
      <c r="F1274" s="762">
        <f>_xlfn.CEILING.MATH((E1274+15*$Z$1),0.1)</f>
        <v>87.80000000000001</v>
      </c>
      <c r="G1274" s="744">
        <f>CEILING((G1271*0.5),0.1)</f>
        <v>98.80000000000001</v>
      </c>
      <c r="H1274" s="762">
        <f>_xlfn.CEILING.MATH((G1274+15*$Z$1),0.1)</f>
        <v>118.30000000000001</v>
      </c>
      <c r="I1274" s="744">
        <f>CEILING((I1271*0.5),0.1)</f>
        <v>74.8</v>
      </c>
      <c r="J1274" s="762">
        <f>_xlfn.CEILING.MATH((I1274+15*$Z$1),0.1)</f>
        <v>94.30000000000001</v>
      </c>
      <c r="K1274" s="744">
        <f>CEILING((K1271*0.5),0.1)</f>
        <v>83.9</v>
      </c>
      <c r="L1274" s="762">
        <f>_xlfn.CEILING.MATH((K1274+15*$Z$1),0.1)</f>
        <v>103.4</v>
      </c>
      <c r="M1274" s="740"/>
      <c r="N1274" s="741"/>
      <c r="O1274" s="271"/>
      <c r="R1274" s="3"/>
      <c r="S1274" s="3"/>
      <c r="T1274" s="3"/>
      <c r="U1274" s="3"/>
      <c r="W1274" s="936"/>
      <c r="X1274" s="936"/>
      <c r="Y1274" s="936"/>
    </row>
    <row r="1275" spans="1:25" ht="15">
      <c r="A1275" s="103"/>
      <c r="B1275" s="201" t="s">
        <v>21</v>
      </c>
      <c r="C1275" s="744">
        <f>CEILING(123*$Z$1,0.1)</f>
        <v>159.9</v>
      </c>
      <c r="D1275" s="762">
        <f>_xlfn.CEILING.MATH((C1275+20*$Z$1),0.1)</f>
        <v>185.9</v>
      </c>
      <c r="E1275" s="744">
        <f>CEILING(113*$Z$1,0.1)</f>
        <v>146.9</v>
      </c>
      <c r="F1275" s="762">
        <f>_xlfn.CEILING.MATH((E1275+20*$Z$1),0.1)</f>
        <v>172.9</v>
      </c>
      <c r="G1275" s="744">
        <f>CEILING(160*$Z$1,0.1)</f>
        <v>208</v>
      </c>
      <c r="H1275" s="762">
        <f>_xlfn.CEILING.MATH((G1275+20*$Z$1),0.1)</f>
        <v>234</v>
      </c>
      <c r="I1275" s="744">
        <f>CEILING(123*$Z$1,0.1)</f>
        <v>159.9</v>
      </c>
      <c r="J1275" s="762">
        <f>_xlfn.CEILING.MATH((I1275+20*$Z$1),0.1)</f>
        <v>185.9</v>
      </c>
      <c r="K1275" s="744">
        <f>CEILING(137*$Z$1,0.1)</f>
        <v>178.10000000000002</v>
      </c>
      <c r="L1275" s="762">
        <f>_xlfn.CEILING.MATH((K1275+20*$Z$1),0.1)</f>
        <v>204.10000000000002</v>
      </c>
      <c r="M1275" s="637"/>
      <c r="N1275" s="637"/>
      <c r="R1275" s="436"/>
      <c r="S1275" s="3"/>
      <c r="T1275" s="436"/>
      <c r="U1275" s="3"/>
      <c r="W1275" s="936"/>
      <c r="X1275" s="936"/>
      <c r="Y1275" s="936"/>
    </row>
    <row r="1276" spans="1:25" ht="15">
      <c r="A1276" s="262"/>
      <c r="B1276" s="201" t="s">
        <v>22</v>
      </c>
      <c r="C1276" s="744">
        <f>CEILING(209*$Z$1,0.1)</f>
        <v>271.7</v>
      </c>
      <c r="D1276" s="762">
        <f>_xlfn.CEILING.MATH((C1276+20*$Z$1),0.1)</f>
        <v>297.7</v>
      </c>
      <c r="E1276" s="744">
        <f>CEILING(192*$Z$1,0.1)</f>
        <v>249.60000000000002</v>
      </c>
      <c r="F1276" s="762">
        <f>_xlfn.CEILING.MATH((E1276+20*$Z$1),0.1)</f>
        <v>275.6</v>
      </c>
      <c r="G1276" s="744">
        <f>CEILING(272*$Z$1,0.1)</f>
        <v>353.6</v>
      </c>
      <c r="H1276" s="762">
        <f>_xlfn.CEILING.MATH((G1276+20*$Z$1),0.1)</f>
        <v>379.6</v>
      </c>
      <c r="I1276" s="744">
        <f>CEILING(209*$Z$1,0.1)</f>
        <v>271.7</v>
      </c>
      <c r="J1276" s="762">
        <f>_xlfn.CEILING.MATH((I1276+20*$Z$1),0.1)</f>
        <v>297.7</v>
      </c>
      <c r="K1276" s="744">
        <f>CEILING(233*$Z$1,0.1)</f>
        <v>302.90000000000003</v>
      </c>
      <c r="L1276" s="762">
        <f>_xlfn.CEILING.MATH((K1276+20*$Z$1),0.1)</f>
        <v>328.90000000000003</v>
      </c>
      <c r="M1276" s="652"/>
      <c r="N1276" s="637"/>
      <c r="R1276" s="3"/>
      <c r="S1276" s="3"/>
      <c r="T1276" s="255"/>
      <c r="U1276" s="255"/>
      <c r="W1276" s="936"/>
      <c r="X1276" s="936"/>
      <c r="Y1276" s="936"/>
    </row>
    <row r="1277" spans="1:25" ht="15">
      <c r="A1277" s="315"/>
      <c r="B1277" s="201" t="s">
        <v>289</v>
      </c>
      <c r="C1277" s="744">
        <f>CEILING(145*$Z$1,0.1)</f>
        <v>188.5</v>
      </c>
      <c r="D1277" s="762">
        <f>_xlfn.CEILING.MATH((C1277+20*$Z$1),0.1)</f>
        <v>214.5</v>
      </c>
      <c r="E1277" s="744">
        <f>CEILING(135*$Z$1,0.1)</f>
        <v>175.5</v>
      </c>
      <c r="F1277" s="762">
        <f>_xlfn.CEILING.MATH((E1277+20*$Z$1),0.1)</f>
        <v>201.5</v>
      </c>
      <c r="G1277" s="744">
        <f>CEILING(182*$Z$1,0.1)</f>
        <v>236.60000000000002</v>
      </c>
      <c r="H1277" s="762">
        <f>_xlfn.CEILING.MATH((G1277+20*$Z$1),0.1)</f>
        <v>262.6</v>
      </c>
      <c r="I1277" s="744">
        <f>CEILING(145*$Z$1,0.1)</f>
        <v>188.5</v>
      </c>
      <c r="J1277" s="762">
        <f>_xlfn.CEILING.MATH((I1277+20*$Z$1),0.1)</f>
        <v>214.5</v>
      </c>
      <c r="K1277" s="744">
        <f>CEILING(159*$Z$1,0.1)</f>
        <v>206.70000000000002</v>
      </c>
      <c r="L1277" s="762">
        <f>_xlfn.CEILING.MATH((K1277+20*$Z$1),0.1)</f>
        <v>232.70000000000002</v>
      </c>
      <c r="M1277" s="637"/>
      <c r="N1277" s="637"/>
      <c r="R1277" s="3"/>
      <c r="S1277" s="3"/>
      <c r="T1277" s="17"/>
      <c r="U1277" s="17"/>
      <c r="W1277" s="936"/>
      <c r="X1277" s="936"/>
      <c r="Y1277" s="936"/>
    </row>
    <row r="1278" spans="1:25" ht="15.75" thickBot="1">
      <c r="A1278" s="822" t="s">
        <v>902</v>
      </c>
      <c r="B1278" s="208" t="s">
        <v>290</v>
      </c>
      <c r="C1278" s="751">
        <f>CEILING(247*$Z$1,0.1)</f>
        <v>321.1</v>
      </c>
      <c r="D1278" s="763">
        <f>_xlfn.CEILING.MATH((C1278+20*$Z$1),0.1)</f>
        <v>347.1</v>
      </c>
      <c r="E1278" s="751">
        <f>CEILING(230*$Z$1,0.1)</f>
        <v>299</v>
      </c>
      <c r="F1278" s="763">
        <f>_xlfn.CEILING.MATH((E1278+20*$Z$1),0.1)</f>
        <v>325</v>
      </c>
      <c r="G1278" s="751">
        <f>CEILING(309*$Z$1,0.1)</f>
        <v>401.70000000000005</v>
      </c>
      <c r="H1278" s="763">
        <f>_xlfn.CEILING.MATH((G1278+20*$Z$1),0.1)</f>
        <v>427.70000000000005</v>
      </c>
      <c r="I1278" s="751">
        <f>CEILING(247*$Z$1,0.1)</f>
        <v>321.1</v>
      </c>
      <c r="J1278" s="763">
        <f>_xlfn.CEILING.MATH((I1278+20*$Z$1),0.1)</f>
        <v>347.1</v>
      </c>
      <c r="K1278" s="751">
        <f>CEILING(270*$Z$1,0.1)</f>
        <v>351</v>
      </c>
      <c r="L1278" s="763">
        <f>_xlfn.CEILING.MATH((K1278+20*$Z$1),0.1)</f>
        <v>377</v>
      </c>
      <c r="M1278" s="637"/>
      <c r="N1278" s="637"/>
      <c r="R1278" s="271"/>
      <c r="S1278" s="271"/>
      <c r="T1278" s="3"/>
      <c r="U1278" s="3"/>
      <c r="W1278" s="936"/>
      <c r="X1278" s="936"/>
      <c r="Y1278" s="936"/>
    </row>
    <row r="1279" spans="1:25" ht="15.75" thickTop="1">
      <c r="A1279" s="99" t="s">
        <v>826</v>
      </c>
      <c r="B1279" s="213"/>
      <c r="C1279" s="3"/>
      <c r="D1279" s="3"/>
      <c r="E1279" s="3"/>
      <c r="F1279" s="3"/>
      <c r="G1279" s="3"/>
      <c r="H1279" s="3"/>
      <c r="I1279" s="3"/>
      <c r="J1279" s="3"/>
      <c r="K1279" s="128"/>
      <c r="L1279" s="508"/>
      <c r="M1279" s="244"/>
      <c r="T1279" s="3"/>
      <c r="U1279" s="3"/>
      <c r="W1279" s="936"/>
      <c r="X1279" s="936"/>
      <c r="Y1279" s="936"/>
    </row>
    <row r="1280" spans="1:25" ht="15">
      <c r="A1280" s="222" t="s">
        <v>828</v>
      </c>
      <c r="B1280" s="222"/>
      <c r="C1280" s="222"/>
      <c r="D1280" s="222"/>
      <c r="E1280" s="222"/>
      <c r="F1280" s="222"/>
      <c r="G1280" s="222"/>
      <c r="H1280" s="222"/>
      <c r="I1280" s="199"/>
      <c r="J1280" s="222"/>
      <c r="K1280" s="128"/>
      <c r="L1280" s="508"/>
      <c r="M1280" s="244"/>
      <c r="T1280" s="3"/>
      <c r="U1280" s="3"/>
      <c r="W1280" s="936"/>
      <c r="X1280" s="936"/>
      <c r="Y1280" s="936"/>
    </row>
    <row r="1281" spans="1:25" ht="15.75" thickBot="1">
      <c r="A1281" s="150"/>
      <c r="B1281" s="150"/>
      <c r="C1281" s="144"/>
      <c r="D1281" s="144"/>
      <c r="E1281" s="144"/>
      <c r="F1281" s="144"/>
      <c r="G1281" s="144"/>
      <c r="H1281" s="144"/>
      <c r="I1281" s="489"/>
      <c r="J1281" s="489"/>
      <c r="K1281" s="512"/>
      <c r="L1281" s="512"/>
      <c r="M1281" s="244"/>
      <c r="T1281" s="3"/>
      <c r="U1281" s="3"/>
      <c r="W1281" s="936"/>
      <c r="X1281" s="936"/>
      <c r="Y1281" s="936"/>
    </row>
    <row r="1282" spans="1:25" ht="15.75" thickTop="1">
      <c r="A1282" s="974" t="s">
        <v>74</v>
      </c>
      <c r="B1282" s="123"/>
      <c r="C1282" s="863" t="s">
        <v>665</v>
      </c>
      <c r="D1282" s="953"/>
      <c r="E1282" s="852" t="s">
        <v>784</v>
      </c>
      <c r="F1282" s="853"/>
      <c r="G1282" s="915" t="s">
        <v>723</v>
      </c>
      <c r="H1282" s="916"/>
      <c r="I1282" s="488"/>
      <c r="J1282" s="439"/>
      <c r="K1282" s="510"/>
      <c r="L1282" s="512"/>
      <c r="M1282" s="244"/>
      <c r="W1282" s="936"/>
      <c r="X1282" s="936"/>
      <c r="Y1282" s="936"/>
    </row>
    <row r="1283" spans="1:25" ht="15.75" customHeight="1">
      <c r="A1283" s="975"/>
      <c r="B1283" s="123"/>
      <c r="C1283" s="124" t="s">
        <v>144</v>
      </c>
      <c r="D1283" s="124" t="s">
        <v>146</v>
      </c>
      <c r="E1283" s="124" t="s">
        <v>144</v>
      </c>
      <c r="F1283" s="125" t="s">
        <v>146</v>
      </c>
      <c r="G1283" s="124" t="s">
        <v>144</v>
      </c>
      <c r="H1283" s="125" t="s">
        <v>146</v>
      </c>
      <c r="I1283" s="16"/>
      <c r="J1283" s="17"/>
      <c r="K1283" s="510"/>
      <c r="L1283" s="512"/>
      <c r="M1283" s="244"/>
      <c r="W1283" s="936"/>
      <c r="X1283" s="936"/>
      <c r="Y1283" s="936"/>
    </row>
    <row r="1284" spans="1:25" ht="15">
      <c r="A1284" s="39" t="s">
        <v>215</v>
      </c>
      <c r="B1284" s="45" t="s">
        <v>82</v>
      </c>
      <c r="C1284" s="744">
        <f>CEILING(160*$Z$1,0.1)</f>
        <v>208</v>
      </c>
      <c r="D1284" s="744">
        <f>_xlfn.CEILING.MATH((C1284+25*$Z$1),0.1)</f>
        <v>240.5</v>
      </c>
      <c r="E1284" s="744">
        <f>CEILING(196*$Z$1,0.1)</f>
        <v>254.8</v>
      </c>
      <c r="F1284" s="744">
        <f>_xlfn.CEILING.MATH((E1284+25*$Z$1),0.1)</f>
        <v>287.3</v>
      </c>
      <c r="G1284" s="744">
        <f>CEILING(160*$Z$1,0.1)</f>
        <v>208</v>
      </c>
      <c r="H1284" s="744">
        <f>_xlfn.CEILING.MATH((G1284+25*$Z$1),0.1)</f>
        <v>240.5</v>
      </c>
      <c r="I1284" s="4"/>
      <c r="J1284" s="3"/>
      <c r="K1284" s="510"/>
      <c r="L1284" s="512"/>
      <c r="M1284" s="244"/>
      <c r="Q1284" s="255"/>
      <c r="R1284" s="255"/>
      <c r="W1284" s="936"/>
      <c r="X1284" s="936"/>
      <c r="Y1284" s="936"/>
    </row>
    <row r="1285" spans="1:26" ht="15">
      <c r="A1285" s="40" t="s">
        <v>76</v>
      </c>
      <c r="B1285" s="14" t="s">
        <v>83</v>
      </c>
      <c r="C1285" s="744">
        <f>_xlfn.CEILING.MATH((C1284+80*$Z$1),0.1)</f>
        <v>312</v>
      </c>
      <c r="D1285" s="762">
        <f>_xlfn.CEILING.MATH((C1285+25*$Z$1),0.1)</f>
        <v>344.5</v>
      </c>
      <c r="E1285" s="744">
        <f>_xlfn.CEILING.MATH((E1284+80*$Z$1),0.1)</f>
        <v>358.8</v>
      </c>
      <c r="F1285" s="762">
        <f>_xlfn.CEILING.MATH((E1285+25*$Z$1),0.1)</f>
        <v>391.3</v>
      </c>
      <c r="G1285" s="744">
        <f>_xlfn.CEILING.MATH((G1284+80*$Z$1),0.1)</f>
        <v>312</v>
      </c>
      <c r="H1285" s="762">
        <f>_xlfn.CEILING.MATH((G1285+25*$Z$1),0.1)</f>
        <v>344.5</v>
      </c>
      <c r="I1285" s="4"/>
      <c r="J1285" s="3"/>
      <c r="K1285" s="510"/>
      <c r="L1285" s="512"/>
      <c r="M1285" s="244"/>
      <c r="Q1285" s="17"/>
      <c r="R1285" s="17"/>
      <c r="T1285" s="936"/>
      <c r="U1285" s="936"/>
      <c r="V1285" s="936"/>
      <c r="W1285" s="936"/>
      <c r="X1285" s="936"/>
      <c r="Y1285" s="936"/>
      <c r="Z1285" s="936"/>
    </row>
    <row r="1286" spans="1:26" ht="15">
      <c r="A1286" s="243"/>
      <c r="B1286" s="161" t="s">
        <v>116</v>
      </c>
      <c r="C1286" s="744">
        <f>CEILING((C1284*0.85),0.1)</f>
        <v>176.8</v>
      </c>
      <c r="D1286" s="762">
        <f>_xlfn.CEILING.MATH((C1286+25*$Z$1),0.1)</f>
        <v>209.3</v>
      </c>
      <c r="E1286" s="744">
        <f>CEILING((E1284*0.85),0.1)</f>
        <v>216.60000000000002</v>
      </c>
      <c r="F1286" s="762">
        <f>_xlfn.CEILING.MATH((E1286+25*$Z$1),0.1)</f>
        <v>249.10000000000002</v>
      </c>
      <c r="G1286" s="744">
        <f>CEILING((G1284*0.85),0.1)</f>
        <v>176.8</v>
      </c>
      <c r="H1286" s="762">
        <f>_xlfn.CEILING.MATH((G1286+25*$Z$1),0.1)</f>
        <v>209.3</v>
      </c>
      <c r="I1286" s="4"/>
      <c r="J1286" s="3"/>
      <c r="K1286" s="510"/>
      <c r="L1286" s="512"/>
      <c r="M1286" s="244"/>
      <c r="Q1286" s="3"/>
      <c r="R1286" s="3"/>
      <c r="S1286" s="271"/>
      <c r="T1286" s="936"/>
      <c r="U1286" s="936"/>
      <c r="V1286" s="936"/>
      <c r="W1286" s="936"/>
      <c r="X1286" s="936"/>
      <c r="Y1286" s="936"/>
      <c r="Z1286" s="936"/>
    </row>
    <row r="1287" spans="1:26" ht="17.25" customHeight="1" thickBot="1">
      <c r="A1287" s="104" t="s">
        <v>882</v>
      </c>
      <c r="B1287" s="15" t="s">
        <v>160</v>
      </c>
      <c r="C1287" s="744">
        <f aca="true" t="shared" si="11" ref="C1287:H1287">CEILING((C1284*0.5),0.1)</f>
        <v>104</v>
      </c>
      <c r="D1287" s="744">
        <f t="shared" si="11"/>
        <v>120.30000000000001</v>
      </c>
      <c r="E1287" s="744">
        <f t="shared" si="11"/>
        <v>127.4</v>
      </c>
      <c r="F1287" s="744">
        <f t="shared" si="11"/>
        <v>143.70000000000002</v>
      </c>
      <c r="G1287" s="744">
        <f t="shared" si="11"/>
        <v>104</v>
      </c>
      <c r="H1287" s="744">
        <f t="shared" si="11"/>
        <v>120.30000000000001</v>
      </c>
      <c r="I1287" s="4"/>
      <c r="J1287" s="3"/>
      <c r="K1287" s="510"/>
      <c r="L1287" s="512"/>
      <c r="M1287" s="244"/>
      <c r="Q1287" s="3"/>
      <c r="R1287" s="3"/>
      <c r="S1287" s="271"/>
      <c r="T1287" s="936"/>
      <c r="U1287" s="936"/>
      <c r="V1287" s="936"/>
      <c r="W1287" s="936"/>
      <c r="X1287" s="936"/>
      <c r="Y1287" s="936"/>
      <c r="Z1287" s="936"/>
    </row>
    <row r="1288" spans="1:26" ht="15.75" thickTop="1">
      <c r="A1288" s="144" t="s">
        <v>785</v>
      </c>
      <c r="B1288" s="292"/>
      <c r="C1288" s="292"/>
      <c r="D1288" s="292"/>
      <c r="E1288" s="292"/>
      <c r="F1288" s="292"/>
      <c r="G1288" s="292"/>
      <c r="H1288" s="292"/>
      <c r="I1288" s="127"/>
      <c r="J1288" s="295"/>
      <c r="K1288" s="510"/>
      <c r="L1288" s="510"/>
      <c r="M1288" s="244"/>
      <c r="Q1288" s="3"/>
      <c r="R1288" s="3"/>
      <c r="S1288" s="271"/>
      <c r="T1288" s="936"/>
      <c r="U1288" s="936"/>
      <c r="V1288" s="936"/>
      <c r="W1288" s="936"/>
      <c r="X1288" s="936"/>
      <c r="Y1288" s="936"/>
      <c r="Z1288" s="936"/>
    </row>
    <row r="1289" spans="1:26" ht="15.75" thickBot="1">
      <c r="A1289" s="294"/>
      <c r="B1289" s="585"/>
      <c r="C1289" s="585"/>
      <c r="D1289" s="585"/>
      <c r="E1289" s="585"/>
      <c r="F1289" s="585"/>
      <c r="G1289" s="585"/>
      <c r="H1289" s="585"/>
      <c r="I1289" s="639"/>
      <c r="J1289" s="743"/>
      <c r="K1289" s="638"/>
      <c r="L1289" s="638"/>
      <c r="M1289" s="244"/>
      <c r="Q1289" s="3"/>
      <c r="R1289" s="3"/>
      <c r="S1289" s="271"/>
      <c r="T1289" s="936"/>
      <c r="U1289" s="936"/>
      <c r="V1289" s="936"/>
      <c r="W1289" s="936"/>
      <c r="X1289" s="936"/>
      <c r="Y1289" s="936"/>
      <c r="Z1289" s="936"/>
    </row>
    <row r="1290" spans="1:26" ht="15.75" thickTop="1">
      <c r="A1290" s="949" t="s">
        <v>74</v>
      </c>
      <c r="B1290" s="123"/>
      <c r="C1290" s="863" t="s">
        <v>665</v>
      </c>
      <c r="D1290" s="953"/>
      <c r="E1290" s="852" t="s">
        <v>784</v>
      </c>
      <c r="F1290" s="853"/>
      <c r="G1290" s="915" t="s">
        <v>721</v>
      </c>
      <c r="H1290" s="916"/>
      <c r="I1290" s="1018" t="s">
        <v>819</v>
      </c>
      <c r="J1290" s="1019"/>
      <c r="K1290" s="598"/>
      <c r="L1290" s="638"/>
      <c r="M1290" s="271"/>
      <c r="Q1290" s="271"/>
      <c r="R1290" s="271"/>
      <c r="S1290" s="271"/>
      <c r="T1290" s="936"/>
      <c r="U1290" s="936"/>
      <c r="V1290" s="936"/>
      <c r="W1290" s="936"/>
      <c r="X1290" s="936"/>
      <c r="Y1290" s="936"/>
      <c r="Z1290" s="936"/>
    </row>
    <row r="1291" spans="1:26" ht="15">
      <c r="A1291" s="950"/>
      <c r="B1291" s="123"/>
      <c r="C1291" s="124" t="s">
        <v>144</v>
      </c>
      <c r="D1291" s="124" t="s">
        <v>146</v>
      </c>
      <c r="E1291" s="124" t="s">
        <v>144</v>
      </c>
      <c r="F1291" s="124" t="s">
        <v>146</v>
      </c>
      <c r="G1291" s="124" t="s">
        <v>144</v>
      </c>
      <c r="H1291" s="125" t="s">
        <v>146</v>
      </c>
      <c r="I1291" s="124" t="s">
        <v>144</v>
      </c>
      <c r="J1291" s="125" t="s">
        <v>146</v>
      </c>
      <c r="K1291" s="596"/>
      <c r="L1291" s="593"/>
      <c r="M1291" s="271"/>
      <c r="R1291" s="271"/>
      <c r="S1291" s="271"/>
      <c r="T1291" s="936"/>
      <c r="U1291" s="936"/>
      <c r="V1291" s="936"/>
      <c r="W1291" s="936"/>
      <c r="X1291" s="936"/>
      <c r="Y1291" s="936"/>
      <c r="Z1291" s="936"/>
    </row>
    <row r="1292" spans="1:26" ht="15" customHeight="1">
      <c r="A1292" s="39" t="s">
        <v>818</v>
      </c>
      <c r="B1292" s="45" t="s">
        <v>82</v>
      </c>
      <c r="C1292" s="744">
        <f>CEILING(95*$Z$1,0.1)</f>
        <v>123.5</v>
      </c>
      <c r="D1292" s="744">
        <f>_xlfn.CEILING.MATH((C1292+20*$Z$1),0.1)</f>
        <v>149.5</v>
      </c>
      <c r="E1292" s="744">
        <f>CEILING(125*$Z$1,0.1)</f>
        <v>162.5</v>
      </c>
      <c r="F1292" s="744">
        <f>_xlfn.CEILING.MATH((E1292+20*$Z$1),0.1)</f>
        <v>188.5</v>
      </c>
      <c r="G1292" s="744">
        <f>CEILING(100*$Z$1,0.1)</f>
        <v>130</v>
      </c>
      <c r="H1292" s="744">
        <f>_xlfn.CEILING.MATH((G1292+20*$Z$1),0.1)</f>
        <v>156</v>
      </c>
      <c r="I1292" s="744">
        <f>CEILING(95*$Z$1,0.1)</f>
        <v>123.5</v>
      </c>
      <c r="J1292" s="744">
        <f>_xlfn.CEILING.MATH((I1292+20*$Z$1),0.1)</f>
        <v>149.5</v>
      </c>
      <c r="K1292" s="740"/>
      <c r="L1292" s="637"/>
      <c r="M1292" s="244"/>
      <c r="R1292" s="271"/>
      <c r="S1292" s="271"/>
      <c r="T1292" s="936"/>
      <c r="U1292" s="936"/>
      <c r="V1292" s="936"/>
      <c r="W1292" s="936"/>
      <c r="X1292" s="936"/>
      <c r="Y1292" s="936"/>
      <c r="Z1292" s="936"/>
    </row>
    <row r="1293" spans="1:26" ht="15">
      <c r="A1293" s="40" t="s">
        <v>91</v>
      </c>
      <c r="B1293" s="14" t="s">
        <v>83</v>
      </c>
      <c r="C1293" s="744">
        <f>_xlfn.CEILING.MATH((C1292+45*$Z$1),0.1)</f>
        <v>182</v>
      </c>
      <c r="D1293" s="762">
        <f>_xlfn.CEILING.MATH((C1293+20*$Z$1),0.1)</f>
        <v>208</v>
      </c>
      <c r="E1293" s="744">
        <f>_xlfn.CEILING.MATH((E1292+45*$Z$1),0.1)</f>
        <v>221</v>
      </c>
      <c r="F1293" s="762">
        <f>_xlfn.CEILING.MATH((E1293+20*$Z$1),0.1)</f>
        <v>247</v>
      </c>
      <c r="G1293" s="744">
        <f>_xlfn.CEILING.MATH((G1292+45*$Z$1),0.1)</f>
        <v>188.5</v>
      </c>
      <c r="H1293" s="762">
        <f>_xlfn.CEILING.MATH((G1293+20*$Z$1),0.1)</f>
        <v>214.5</v>
      </c>
      <c r="I1293" s="744">
        <f>_xlfn.CEILING.MATH((I1292+45*$Z$1),0.1)</f>
        <v>182</v>
      </c>
      <c r="J1293" s="762">
        <f>_xlfn.CEILING.MATH((I1293+20*$Z$1),0.1)</f>
        <v>208</v>
      </c>
      <c r="K1293" s="740"/>
      <c r="L1293" s="637"/>
      <c r="M1293" s="244"/>
      <c r="R1293" s="271"/>
      <c r="S1293" s="271"/>
      <c r="T1293" s="936"/>
      <c r="U1293" s="936"/>
      <c r="V1293" s="936"/>
      <c r="W1293" s="936"/>
      <c r="X1293" s="936"/>
      <c r="Y1293" s="936"/>
      <c r="Z1293" s="936"/>
    </row>
    <row r="1294" spans="1:26" ht="15">
      <c r="A1294" s="40"/>
      <c r="B1294" s="161" t="s">
        <v>116</v>
      </c>
      <c r="C1294" s="744">
        <f>CEILING((C1292*0.85),0.1)</f>
        <v>105</v>
      </c>
      <c r="D1294" s="762">
        <f>_xlfn.CEILING.MATH((C1294+20*$Z$1),0.1)</f>
        <v>131</v>
      </c>
      <c r="E1294" s="744">
        <f>CEILING((E1292*0.85),0.1)</f>
        <v>138.20000000000002</v>
      </c>
      <c r="F1294" s="762">
        <f>_xlfn.CEILING.MATH((E1294+20*$Z$1),0.1)</f>
        <v>164.20000000000002</v>
      </c>
      <c r="G1294" s="744">
        <f>CEILING((G1292*0.85),0.1)</f>
        <v>110.5</v>
      </c>
      <c r="H1294" s="762">
        <f>_xlfn.CEILING.MATH((G1294+20*$Z$1),0.1)</f>
        <v>136.5</v>
      </c>
      <c r="I1294" s="744">
        <f>CEILING((I1292*0.85),0.1)</f>
        <v>105</v>
      </c>
      <c r="J1294" s="762">
        <f>_xlfn.CEILING.MATH((I1294+20*$Z$1),0.1)</f>
        <v>131</v>
      </c>
      <c r="K1294" s="740"/>
      <c r="L1294" s="637"/>
      <c r="M1294" s="244"/>
      <c r="R1294" s="271"/>
      <c r="S1294" s="271"/>
      <c r="T1294" s="936"/>
      <c r="U1294" s="936"/>
      <c r="V1294" s="936"/>
      <c r="W1294" s="936"/>
      <c r="X1294" s="936"/>
      <c r="Y1294" s="936"/>
      <c r="Z1294" s="936"/>
    </row>
    <row r="1295" spans="1:26" s="724" customFormat="1" ht="15.75" thickBot="1">
      <c r="A1295" s="104" t="s">
        <v>901</v>
      </c>
      <c r="B1295" s="793" t="s">
        <v>107</v>
      </c>
      <c r="C1295" s="751">
        <f>CEILING((C1292*0.5),0.1)</f>
        <v>61.800000000000004</v>
      </c>
      <c r="D1295" s="751">
        <f>CEILING((D1292*0.5),0.1)</f>
        <v>74.8</v>
      </c>
      <c r="E1295" s="751">
        <f aca="true" t="shared" si="12" ref="E1295:J1295">CEILING((E1292*0.5),0.1)</f>
        <v>81.30000000000001</v>
      </c>
      <c r="F1295" s="751">
        <f t="shared" si="12"/>
        <v>94.30000000000001</v>
      </c>
      <c r="G1295" s="751">
        <f t="shared" si="12"/>
        <v>65</v>
      </c>
      <c r="H1295" s="751">
        <f t="shared" si="12"/>
        <v>78</v>
      </c>
      <c r="I1295" s="763">
        <f t="shared" si="12"/>
        <v>61.800000000000004</v>
      </c>
      <c r="J1295" s="771">
        <f t="shared" si="12"/>
        <v>74.8</v>
      </c>
      <c r="K1295" s="740"/>
      <c r="L1295" s="741"/>
      <c r="M1295" s="244"/>
      <c r="N1295" s="244"/>
      <c r="O1295" s="244"/>
      <c r="P1295" s="244"/>
      <c r="Q1295" s="244"/>
      <c r="R1295" s="271"/>
      <c r="S1295" s="271"/>
      <c r="T1295" s="936"/>
      <c r="U1295" s="936"/>
      <c r="V1295" s="936"/>
      <c r="W1295" s="936"/>
      <c r="X1295" s="936"/>
      <c r="Y1295" s="936"/>
      <c r="Z1295" s="936"/>
    </row>
    <row r="1296" spans="1:26" s="724" customFormat="1" ht="15.75" thickTop="1">
      <c r="A1296" s="99" t="s">
        <v>820</v>
      </c>
      <c r="B1296" s="60"/>
      <c r="C1296" s="3"/>
      <c r="D1296" s="3"/>
      <c r="E1296" s="3"/>
      <c r="F1296" s="3"/>
      <c r="G1296" s="3"/>
      <c r="H1296" s="3"/>
      <c r="I1296" s="741"/>
      <c r="J1296" s="741"/>
      <c r="K1296" s="741"/>
      <c r="L1296" s="741"/>
      <c r="M1296" s="22"/>
      <c r="N1296" s="226"/>
      <c r="O1296" s="244"/>
      <c r="P1296" s="244"/>
      <c r="Q1296" s="244"/>
      <c r="R1296" s="271"/>
      <c r="S1296" s="271"/>
      <c r="T1296" s="936"/>
      <c r="U1296" s="936"/>
      <c r="V1296" s="936"/>
      <c r="W1296" s="936"/>
      <c r="X1296" s="936"/>
      <c r="Y1296" s="936"/>
      <c r="Z1296" s="936"/>
    </row>
    <row r="1297" spans="1:26" s="724" customFormat="1" ht="15">
      <c r="A1297" s="634" t="s">
        <v>821</v>
      </c>
      <c r="B1297" s="60"/>
      <c r="C1297" s="3"/>
      <c r="D1297" s="3"/>
      <c r="E1297" s="3"/>
      <c r="F1297" s="3"/>
      <c r="G1297" s="3"/>
      <c r="H1297" s="3"/>
      <c r="I1297" s="741"/>
      <c r="J1297" s="741"/>
      <c r="K1297" s="741"/>
      <c r="L1297" s="741"/>
      <c r="M1297" s="22"/>
      <c r="N1297" s="226"/>
      <c r="O1297" s="244"/>
      <c r="P1297" s="244"/>
      <c r="Q1297" s="244"/>
      <c r="R1297" s="271"/>
      <c r="S1297" s="271"/>
      <c r="T1297" s="936"/>
      <c r="U1297" s="936"/>
      <c r="V1297" s="936"/>
      <c r="W1297" s="936"/>
      <c r="X1297" s="936"/>
      <c r="Y1297" s="936"/>
      <c r="Z1297" s="936"/>
    </row>
    <row r="1298" spans="1:26" ht="15.75" customHeight="1" thickBot="1">
      <c r="A1298" s="92"/>
      <c r="B1298" s="71"/>
      <c r="C1298" s="71"/>
      <c r="D1298" s="71"/>
      <c r="E1298" s="71"/>
      <c r="F1298" s="71"/>
      <c r="G1298" s="71"/>
      <c r="H1298" s="71"/>
      <c r="I1298" s="72"/>
      <c r="J1298" s="556"/>
      <c r="K1298" s="490"/>
      <c r="L1298" s="490"/>
      <c r="M1298" s="22"/>
      <c r="N1298" s="226"/>
      <c r="R1298" s="271"/>
      <c r="S1298" s="271"/>
      <c r="T1298" s="936"/>
      <c r="U1298" s="936"/>
      <c r="V1298" s="936"/>
      <c r="W1298" s="936"/>
      <c r="X1298" s="936"/>
      <c r="Y1298" s="936"/>
      <c r="Z1298" s="936"/>
    </row>
    <row r="1299" spans="1:26" ht="15.75" thickTop="1">
      <c r="A1299" s="949" t="s">
        <v>74</v>
      </c>
      <c r="B1299" s="178"/>
      <c r="C1299" s="863" t="s">
        <v>665</v>
      </c>
      <c r="D1299" s="953"/>
      <c r="E1299" s="852" t="s">
        <v>784</v>
      </c>
      <c r="F1299" s="853"/>
      <c r="G1299" s="915" t="s">
        <v>723</v>
      </c>
      <c r="H1299" s="977"/>
      <c r="I1299" s="856"/>
      <c r="J1299" s="857"/>
      <c r="K1299" s="616"/>
      <c r="L1299" s="616"/>
      <c r="M1299" s="672"/>
      <c r="N1299" s="672"/>
      <c r="R1299" s="3"/>
      <c r="S1299" s="3"/>
      <c r="T1299" s="936"/>
      <c r="U1299" s="936"/>
      <c r="V1299" s="936"/>
      <c r="W1299" s="936"/>
      <c r="X1299" s="936"/>
      <c r="Y1299" s="936"/>
      <c r="Z1299" s="936"/>
    </row>
    <row r="1300" spans="1:26" ht="15">
      <c r="A1300" s="950"/>
      <c r="B1300" s="179"/>
      <c r="C1300" s="124" t="s">
        <v>144</v>
      </c>
      <c r="D1300" s="124" t="s">
        <v>146</v>
      </c>
      <c r="E1300" s="124" t="s">
        <v>144</v>
      </c>
      <c r="F1300" s="124" t="s">
        <v>146</v>
      </c>
      <c r="G1300" s="124" t="s">
        <v>144</v>
      </c>
      <c r="H1300" s="125" t="s">
        <v>146</v>
      </c>
      <c r="I1300" s="596"/>
      <c r="J1300" s="593"/>
      <c r="K1300" s="594"/>
      <c r="L1300" s="594"/>
      <c r="M1300" s="593"/>
      <c r="N1300" s="593"/>
      <c r="R1300" s="932"/>
      <c r="S1300" s="932"/>
      <c r="T1300" s="936"/>
      <c r="U1300" s="936"/>
      <c r="V1300" s="936"/>
      <c r="W1300" s="936"/>
      <c r="X1300" s="936"/>
      <c r="Y1300" s="936"/>
      <c r="Z1300" s="936"/>
    </row>
    <row r="1301" spans="1:26" ht="15">
      <c r="A1301" s="39" t="s">
        <v>216</v>
      </c>
      <c r="B1301" s="171" t="s">
        <v>82</v>
      </c>
      <c r="C1301" s="744">
        <f>CEILING(108*$Z$1,0.1)</f>
        <v>140.4</v>
      </c>
      <c r="D1301" s="744">
        <f>_xlfn.CEILING.MATH((C1301+25*$Z$1),0.1)</f>
        <v>172.9</v>
      </c>
      <c r="E1301" s="744">
        <f>CEILING(120*$Z$1,0.1)</f>
        <v>156</v>
      </c>
      <c r="F1301" s="744">
        <f>_xlfn.CEILING.MATH((E1301+25*$Z$1),0.1)</f>
        <v>188.5</v>
      </c>
      <c r="G1301" s="744">
        <f>CEILING(108*$Z$1,0.1)</f>
        <v>140.4</v>
      </c>
      <c r="H1301" s="744">
        <f>_xlfn.CEILING.MATH((G1301+25*$Z$1),0.1)</f>
        <v>172.9</v>
      </c>
      <c r="I1301" s="740"/>
      <c r="J1301" s="741"/>
      <c r="K1301" s="590"/>
      <c r="L1301" s="590"/>
      <c r="M1301" s="671"/>
      <c r="N1301" s="671"/>
      <c r="R1301" s="17"/>
      <c r="S1301" s="17"/>
      <c r="T1301" s="936"/>
      <c r="U1301" s="936"/>
      <c r="V1301" s="936"/>
      <c r="W1301" s="936"/>
      <c r="X1301" s="936"/>
      <c r="Y1301" s="936"/>
      <c r="Z1301" s="936"/>
    </row>
    <row r="1302" spans="1:26" ht="15">
      <c r="A1302" s="216" t="s">
        <v>91</v>
      </c>
      <c r="B1302" s="12" t="s">
        <v>83</v>
      </c>
      <c r="C1302" s="744">
        <f>_xlfn.CEILING.MATH((C1301+50*$Z$1),0.1)</f>
        <v>205.4</v>
      </c>
      <c r="D1302" s="762">
        <f>_xlfn.CEILING.MATH((C1302+25*$Z$1),0.1)</f>
        <v>237.9</v>
      </c>
      <c r="E1302" s="744">
        <f>_xlfn.CEILING.MATH((E1301+50*$Z$1),0.1)</f>
        <v>221</v>
      </c>
      <c r="F1302" s="762">
        <f>_xlfn.CEILING.MATH((E1302+25*$Z$1),0.1)</f>
        <v>253.5</v>
      </c>
      <c r="G1302" s="744">
        <f>_xlfn.CEILING.MATH((G1301+50*$Z$1),0.1)</f>
        <v>205.4</v>
      </c>
      <c r="H1302" s="762">
        <f>_xlfn.CEILING.MATH((G1302+25*$Z$1),0.1)</f>
        <v>237.9</v>
      </c>
      <c r="I1302" s="740"/>
      <c r="J1302" s="741"/>
      <c r="K1302" s="590"/>
      <c r="L1302" s="590"/>
      <c r="M1302" s="671"/>
      <c r="N1302" s="671"/>
      <c r="R1302" s="3"/>
      <c r="S1302" s="3"/>
      <c r="T1302" s="936"/>
      <c r="U1302" s="936"/>
      <c r="V1302" s="936"/>
      <c r="W1302" s="936"/>
      <c r="X1302" s="936"/>
      <c r="Y1302" s="936"/>
      <c r="Z1302" s="936"/>
    </row>
    <row r="1303" spans="1:26" ht="15">
      <c r="A1303" s="243"/>
      <c r="B1303" s="161" t="s">
        <v>116</v>
      </c>
      <c r="C1303" s="744">
        <f>CEILING((C1301*0.85),0.1)</f>
        <v>119.4</v>
      </c>
      <c r="D1303" s="762">
        <f>_xlfn.CEILING.MATH((C1303+25*$Z$1),0.1)</f>
        <v>151.9</v>
      </c>
      <c r="E1303" s="744">
        <f>CEILING((E1301*0.85),0.1)</f>
        <v>132.6</v>
      </c>
      <c r="F1303" s="762">
        <f>_xlfn.CEILING.MATH((E1303+25*$Z$1),0.1)</f>
        <v>165.10000000000002</v>
      </c>
      <c r="G1303" s="744">
        <f>CEILING((G1301*0.85),0.1)</f>
        <v>119.4</v>
      </c>
      <c r="H1303" s="762">
        <f>_xlfn.CEILING.MATH((G1303+25*$Z$1),0.1)</f>
        <v>151.9</v>
      </c>
      <c r="I1303" s="740"/>
      <c r="J1303" s="741"/>
      <c r="K1303" s="590"/>
      <c r="L1303" s="590"/>
      <c r="M1303" s="671"/>
      <c r="N1303" s="671"/>
      <c r="R1303" s="3"/>
      <c r="S1303" s="3"/>
      <c r="T1303" s="936"/>
      <c r="U1303" s="936"/>
      <c r="V1303" s="936"/>
      <c r="W1303" s="936"/>
      <c r="X1303" s="936"/>
      <c r="Y1303" s="936"/>
      <c r="Z1303" s="936"/>
    </row>
    <row r="1304" spans="1:26" ht="15.75" thickBot="1">
      <c r="A1304" s="140" t="s">
        <v>900</v>
      </c>
      <c r="B1304" s="43" t="s">
        <v>107</v>
      </c>
      <c r="C1304" s="751">
        <f aca="true" t="shared" si="13" ref="C1304:H1304">CEILING((C1301*0.5),0.1)</f>
        <v>70.2</v>
      </c>
      <c r="D1304" s="751">
        <f t="shared" si="13"/>
        <v>86.5</v>
      </c>
      <c r="E1304" s="751">
        <f t="shared" si="13"/>
        <v>78</v>
      </c>
      <c r="F1304" s="751">
        <f t="shared" si="13"/>
        <v>94.30000000000001</v>
      </c>
      <c r="G1304" s="751">
        <f t="shared" si="13"/>
        <v>70.2</v>
      </c>
      <c r="H1304" s="751">
        <f t="shared" si="13"/>
        <v>86.5</v>
      </c>
      <c r="I1304" s="740"/>
      <c r="J1304" s="741"/>
      <c r="K1304" s="590"/>
      <c r="L1304" s="590"/>
      <c r="M1304" s="671"/>
      <c r="N1304" s="671"/>
      <c r="R1304" s="3"/>
      <c r="S1304" s="3"/>
      <c r="T1304" s="936"/>
      <c r="U1304" s="936"/>
      <c r="V1304" s="936"/>
      <c r="W1304" s="936"/>
      <c r="X1304" s="936"/>
      <c r="Y1304" s="936"/>
      <c r="Z1304" s="936"/>
    </row>
    <row r="1305" spans="1:26" ht="15.75" thickTop="1">
      <c r="A1305" s="99" t="s">
        <v>827</v>
      </c>
      <c r="B1305" s="60"/>
      <c r="C1305" s="3"/>
      <c r="D1305" s="3"/>
      <c r="E1305" s="3"/>
      <c r="F1305" s="3"/>
      <c r="G1305" s="3"/>
      <c r="H1305" s="3"/>
      <c r="I1305" s="3"/>
      <c r="J1305" s="290"/>
      <c r="K1305" s="440"/>
      <c r="L1305" s="440"/>
      <c r="M1305" s="22"/>
      <c r="N1305" s="367"/>
      <c r="O1305" s="271"/>
      <c r="R1305" s="3"/>
      <c r="S1305" s="3"/>
      <c r="T1305" s="936"/>
      <c r="U1305" s="936"/>
      <c r="V1305" s="936"/>
      <c r="W1305" s="936"/>
      <c r="X1305" s="936"/>
      <c r="Y1305" s="936"/>
      <c r="Z1305" s="936"/>
    </row>
    <row r="1306" spans="1:26" ht="15.75" customHeight="1">
      <c r="A1306" s="634" t="s">
        <v>821</v>
      </c>
      <c r="B1306" s="144"/>
      <c r="C1306" s="144"/>
      <c r="D1306" s="144"/>
      <c r="E1306" s="144"/>
      <c r="F1306" s="144"/>
      <c r="G1306" s="144"/>
      <c r="H1306" s="144"/>
      <c r="I1306" s="144"/>
      <c r="J1306" s="72"/>
      <c r="K1306" s="128"/>
      <c r="L1306" s="513"/>
      <c r="M1306" s="271"/>
      <c r="N1306" s="271"/>
      <c r="O1306" s="271"/>
      <c r="R1306" s="3"/>
      <c r="S1306" s="3"/>
      <c r="T1306" s="936"/>
      <c r="U1306" s="936"/>
      <c r="V1306" s="936"/>
      <c r="W1306" s="936"/>
      <c r="X1306" s="936"/>
      <c r="Y1306" s="936"/>
      <c r="Z1306" s="936"/>
    </row>
    <row r="1307" spans="1:26" ht="15.75" thickBot="1">
      <c r="A1307" s="92"/>
      <c r="B1307" s="71"/>
      <c r="C1307" s="71"/>
      <c r="D1307" s="71"/>
      <c r="E1307" s="71"/>
      <c r="F1307" s="71"/>
      <c r="G1307" s="71"/>
      <c r="H1307" s="71"/>
      <c r="I1307" s="71"/>
      <c r="J1307" s="304"/>
      <c r="K1307" s="532"/>
      <c r="L1307" s="532"/>
      <c r="M1307" s="244"/>
      <c r="R1307" s="3"/>
      <c r="S1307" s="3"/>
      <c r="T1307" s="936"/>
      <c r="U1307" s="936"/>
      <c r="V1307" s="936"/>
      <c r="W1307" s="936"/>
      <c r="X1307" s="936"/>
      <c r="Y1307" s="936"/>
      <c r="Z1307" s="936"/>
    </row>
    <row r="1308" spans="1:26" ht="15.75" thickTop="1">
      <c r="A1308" s="1025" t="s">
        <v>74</v>
      </c>
      <c r="B1308" s="181"/>
      <c r="C1308" s="860" t="s">
        <v>714</v>
      </c>
      <c r="D1308" s="861"/>
      <c r="E1308" s="860" t="s">
        <v>715</v>
      </c>
      <c r="F1308" s="861"/>
      <c r="G1308" s="860" t="s">
        <v>716</v>
      </c>
      <c r="H1308" s="861"/>
      <c r="I1308" s="1018" t="s">
        <v>717</v>
      </c>
      <c r="J1308" s="1019"/>
      <c r="K1308" s="528" t="s">
        <v>718</v>
      </c>
      <c r="L1308" s="529"/>
      <c r="M1308" s="244"/>
      <c r="R1308" s="3"/>
      <c r="S1308" s="3"/>
      <c r="T1308" s="936"/>
      <c r="U1308" s="936"/>
      <c r="V1308" s="936"/>
      <c r="W1308" s="936"/>
      <c r="X1308" s="936"/>
      <c r="Y1308" s="936"/>
      <c r="Z1308" s="936"/>
    </row>
    <row r="1309" spans="1:26" ht="15">
      <c r="A1309" s="960"/>
      <c r="B1309" s="182"/>
      <c r="C1309" s="124" t="s">
        <v>144</v>
      </c>
      <c r="D1309" s="124" t="s">
        <v>146</v>
      </c>
      <c r="E1309" s="124" t="s">
        <v>144</v>
      </c>
      <c r="F1309" s="124" t="s">
        <v>146</v>
      </c>
      <c r="G1309" s="124" t="s">
        <v>144</v>
      </c>
      <c r="H1309" s="125" t="s">
        <v>146</v>
      </c>
      <c r="I1309" s="124" t="s">
        <v>144</v>
      </c>
      <c r="J1309" s="125" t="s">
        <v>146</v>
      </c>
      <c r="K1309" s="124" t="s">
        <v>144</v>
      </c>
      <c r="L1309" s="125" t="s">
        <v>146</v>
      </c>
      <c r="M1309" s="625"/>
      <c r="T1309" s="936"/>
      <c r="U1309" s="936"/>
      <c r="V1309" s="936"/>
      <c r="W1309" s="936"/>
      <c r="X1309" s="936"/>
      <c r="Y1309" s="936"/>
      <c r="Z1309" s="936"/>
    </row>
    <row r="1310" spans="1:26" ht="15" customHeight="1">
      <c r="A1310" s="32" t="s">
        <v>387</v>
      </c>
      <c r="B1310" s="34" t="s">
        <v>99</v>
      </c>
      <c r="C1310" s="744">
        <f>CEILING(90*$Z$1,0.1)</f>
        <v>117</v>
      </c>
      <c r="D1310" s="744">
        <f>_xlfn.CEILING.MATH((C1310+22*$Z$1),0.1)</f>
        <v>145.6</v>
      </c>
      <c r="E1310" s="744">
        <f>CEILING(85*$Z$1,0.1)</f>
        <v>110.5</v>
      </c>
      <c r="F1310" s="744">
        <f>_xlfn.CEILING.MATH((E1310+22*$Z$1),0.1)</f>
        <v>139.1</v>
      </c>
      <c r="G1310" s="744">
        <f>CEILING(95*$Z$1,0.1)</f>
        <v>123.5</v>
      </c>
      <c r="H1310" s="744">
        <f>_xlfn.CEILING.MATH((G1310+22*$Z$1),0.1)</f>
        <v>152.1</v>
      </c>
      <c r="I1310" s="744">
        <f>CEILING(90*$Z$1,0.1)</f>
        <v>117</v>
      </c>
      <c r="J1310" s="744">
        <f>_xlfn.CEILING.MATH((I1310+22*$Z$1),0.1)</f>
        <v>145.6</v>
      </c>
      <c r="K1310" s="744">
        <f>CEILING(85*$Z$1,0.1)</f>
        <v>110.5</v>
      </c>
      <c r="L1310" s="744">
        <f>_xlfn.CEILING.MATH((K1310+22*$Z$1),0.1)</f>
        <v>139.1</v>
      </c>
      <c r="M1310" s="625"/>
      <c r="R1310" s="932"/>
      <c r="S1310" s="932"/>
      <c r="T1310" s="936"/>
      <c r="U1310" s="936"/>
      <c r="V1310" s="936"/>
      <c r="W1310" s="936"/>
      <c r="X1310" s="936"/>
      <c r="Y1310" s="936"/>
      <c r="Z1310" s="936"/>
    </row>
    <row r="1311" spans="1:26" ht="15">
      <c r="A1311" s="33" t="s">
        <v>91</v>
      </c>
      <c r="B1311" s="34" t="s">
        <v>100</v>
      </c>
      <c r="C1311" s="744">
        <f>_xlfn.CEILING.MATH((C1310+40*$Z$1),0.1)</f>
        <v>169</v>
      </c>
      <c r="D1311" s="762">
        <f>_xlfn.CEILING.MATH((C1311+22*$Z$1),0.1)</f>
        <v>197.60000000000002</v>
      </c>
      <c r="E1311" s="744">
        <f>_xlfn.CEILING.MATH((E1310+40*$Z$1),0.1)</f>
        <v>162.5</v>
      </c>
      <c r="F1311" s="762">
        <f>_xlfn.CEILING.MATH((E1311+22*$Z$1),0.1)</f>
        <v>191.10000000000002</v>
      </c>
      <c r="G1311" s="744">
        <f>_xlfn.CEILING.MATH((G1310+40*$Z$1),0.1)</f>
        <v>175.5</v>
      </c>
      <c r="H1311" s="762">
        <f>_xlfn.CEILING.MATH((G1311+22*$Z$1),0.1)</f>
        <v>204.10000000000002</v>
      </c>
      <c r="I1311" s="744">
        <f>_xlfn.CEILING.MATH((I1310+40*$Z$1),0.1)</f>
        <v>169</v>
      </c>
      <c r="J1311" s="762">
        <f>_xlfn.CEILING.MATH((I1311+22*$Z$1),0.1)</f>
        <v>197.60000000000002</v>
      </c>
      <c r="K1311" s="744">
        <f>_xlfn.CEILING.MATH((K1310+40*$Z$1),0.1)</f>
        <v>162.5</v>
      </c>
      <c r="L1311" s="762">
        <f>_xlfn.CEILING.MATH((K1311+22*$Z$1),0.1)</f>
        <v>191.10000000000002</v>
      </c>
      <c r="M1311" s="244"/>
      <c r="R1311" s="17"/>
      <c r="S1311" s="17"/>
      <c r="T1311" s="936"/>
      <c r="U1311" s="936"/>
      <c r="V1311" s="936"/>
      <c r="W1311" s="936"/>
      <c r="X1311" s="936"/>
      <c r="Y1311" s="936"/>
      <c r="Z1311" s="936"/>
    </row>
    <row r="1312" spans="1:26" ht="15">
      <c r="A1312" s="22"/>
      <c r="B1312" s="34" t="s">
        <v>496</v>
      </c>
      <c r="C1312" s="744">
        <f>CEILING((C1310*0.85),0.1)</f>
        <v>99.5</v>
      </c>
      <c r="D1312" s="762">
        <f>_xlfn.CEILING.MATH((C1312+22*$Z$1),0.1)</f>
        <v>128.1</v>
      </c>
      <c r="E1312" s="744">
        <f>CEILING((E1310*0.85),0.1)</f>
        <v>94</v>
      </c>
      <c r="F1312" s="762">
        <f>_xlfn.CEILING.MATH((E1312+22*$Z$1),0.1)</f>
        <v>122.60000000000001</v>
      </c>
      <c r="G1312" s="744">
        <f>CEILING((G1310*0.85),0.1)</f>
        <v>105</v>
      </c>
      <c r="H1312" s="762">
        <f>_xlfn.CEILING.MATH((G1312+22*$Z$1),0.1)</f>
        <v>133.6</v>
      </c>
      <c r="I1312" s="744">
        <f>CEILING((I1310*0.85),0.1)</f>
        <v>99.5</v>
      </c>
      <c r="J1312" s="762">
        <f>_xlfn.CEILING.MATH((I1312+22*$Z$1),0.1)</f>
        <v>128.1</v>
      </c>
      <c r="K1312" s="744">
        <f>CEILING((K1310*0.85),0.1)</f>
        <v>94</v>
      </c>
      <c r="L1312" s="762">
        <f>_xlfn.CEILING.MATH((K1312+22*$Z$1),0.1)</f>
        <v>122.60000000000001</v>
      </c>
      <c r="M1312" s="244"/>
      <c r="R1312" s="3"/>
      <c r="S1312" s="3"/>
      <c r="T1312" s="936"/>
      <c r="U1312" s="936"/>
      <c r="V1312" s="936"/>
      <c r="W1312" s="936"/>
      <c r="X1312" s="936"/>
      <c r="Y1312" s="936"/>
      <c r="Z1312" s="936"/>
    </row>
    <row r="1313" spans="1:26" ht="15">
      <c r="A1313" s="22"/>
      <c r="B1313" s="34" t="s">
        <v>107</v>
      </c>
      <c r="C1313" s="744">
        <f aca="true" t="shared" si="14" ref="C1313:L1313">CEILING((C1310*0.5),0.1)</f>
        <v>58.5</v>
      </c>
      <c r="D1313" s="744">
        <f t="shared" si="14"/>
        <v>72.8</v>
      </c>
      <c r="E1313" s="744">
        <f t="shared" si="14"/>
        <v>55.300000000000004</v>
      </c>
      <c r="F1313" s="744">
        <f t="shared" si="14"/>
        <v>69.60000000000001</v>
      </c>
      <c r="G1313" s="744">
        <f t="shared" si="14"/>
        <v>61.800000000000004</v>
      </c>
      <c r="H1313" s="744">
        <f t="shared" si="14"/>
        <v>76.10000000000001</v>
      </c>
      <c r="I1313" s="762">
        <f t="shared" si="14"/>
        <v>58.5</v>
      </c>
      <c r="J1313" s="744">
        <f t="shared" si="14"/>
        <v>72.8</v>
      </c>
      <c r="K1313" s="762">
        <f t="shared" si="14"/>
        <v>55.300000000000004</v>
      </c>
      <c r="L1313" s="744">
        <f t="shared" si="14"/>
        <v>69.60000000000001</v>
      </c>
      <c r="M1313" s="625"/>
      <c r="R1313" s="3"/>
      <c r="S1313" s="3"/>
      <c r="T1313" s="936"/>
      <c r="U1313" s="936"/>
      <c r="V1313" s="936"/>
      <c r="W1313" s="936"/>
      <c r="X1313" s="936"/>
      <c r="Y1313" s="936"/>
      <c r="Z1313" s="936"/>
    </row>
    <row r="1314" spans="1:26" ht="15">
      <c r="A1314" s="22"/>
      <c r="B1314" s="34" t="s">
        <v>316</v>
      </c>
      <c r="C1314" s="738">
        <f>_xlfn.CEILING.MATH((C1310+10*$Z$1),0.1)</f>
        <v>130</v>
      </c>
      <c r="D1314" s="770">
        <f>_xlfn.CEILING.MATH((C1314+22*$Z$1),0.1)</f>
        <v>158.60000000000002</v>
      </c>
      <c r="E1314" s="738">
        <f>_xlfn.CEILING.MATH((E1310+10*$Z$1),0.1)</f>
        <v>123.5</v>
      </c>
      <c r="F1314" s="770">
        <f>_xlfn.CEILING.MATH((E1314+22*$Z$1),0.1)</f>
        <v>152.1</v>
      </c>
      <c r="G1314" s="738">
        <f>_xlfn.CEILING.MATH((G1310+10*$Z$1),0.1)</f>
        <v>136.5</v>
      </c>
      <c r="H1314" s="770">
        <f>_xlfn.CEILING.MATH((G1314+22*$Z$1),0.1)</f>
        <v>165.10000000000002</v>
      </c>
      <c r="I1314" s="738">
        <f>_xlfn.CEILING.MATH((I1310+10*$Z$1),0.1)</f>
        <v>130</v>
      </c>
      <c r="J1314" s="770">
        <f>_xlfn.CEILING.MATH((I1314+22*$Z$1),0.1)</f>
        <v>158.60000000000002</v>
      </c>
      <c r="K1314" s="738">
        <f>_xlfn.CEILING.MATH((K1310+10*$Z$1),0.1)</f>
        <v>123.5</v>
      </c>
      <c r="L1314" s="770">
        <f>_xlfn.CEILING.MATH((K1314+22*$Z$1),0.1)</f>
        <v>152.1</v>
      </c>
      <c r="M1314" s="18"/>
      <c r="N1314" s="226"/>
      <c r="R1314" s="3"/>
      <c r="S1314" s="3"/>
      <c r="T1314" s="936"/>
      <c r="U1314" s="936"/>
      <c r="V1314" s="936"/>
      <c r="W1314" s="936"/>
      <c r="X1314" s="936"/>
      <c r="Y1314" s="936"/>
      <c r="Z1314" s="936"/>
    </row>
    <row r="1315" spans="1:19" ht="15.75" thickBot="1">
      <c r="A1315" s="105" t="s">
        <v>899</v>
      </c>
      <c r="B1315" s="264" t="s">
        <v>317</v>
      </c>
      <c r="C1315" s="751">
        <f>_xlfn.CEILING.MATH((C1314+40*$Z$1),0.1)</f>
        <v>182</v>
      </c>
      <c r="D1315" s="763">
        <f>_xlfn.CEILING.MATH((C1315+22*$Z$1),0.1)</f>
        <v>210.60000000000002</v>
      </c>
      <c r="E1315" s="751">
        <f>_xlfn.CEILING.MATH((E1314+40*$Z$1),0.1)</f>
        <v>175.5</v>
      </c>
      <c r="F1315" s="763">
        <f>_xlfn.CEILING.MATH((E1315+22*$Z$1),0.1)</f>
        <v>204.10000000000002</v>
      </c>
      <c r="G1315" s="751">
        <f>_xlfn.CEILING.MATH((G1314+40*$Z$1),0.1)</f>
        <v>188.5</v>
      </c>
      <c r="H1315" s="763">
        <f>_xlfn.CEILING.MATH((G1315+22*$Z$1),0.1)</f>
        <v>217.10000000000002</v>
      </c>
      <c r="I1315" s="751">
        <f>_xlfn.CEILING.MATH((I1314+40*$Z$1),0.1)</f>
        <v>182</v>
      </c>
      <c r="J1315" s="763">
        <f>_xlfn.CEILING.MATH((I1315+22*$Z$1),0.1)</f>
        <v>210.60000000000002</v>
      </c>
      <c r="K1315" s="751">
        <f>_xlfn.CEILING.MATH((K1314+40*$Z$1),0.1)</f>
        <v>175.5</v>
      </c>
      <c r="L1315" s="763">
        <f>_xlfn.CEILING.MATH((K1315+22*$Z$1),0.1)</f>
        <v>204.10000000000002</v>
      </c>
      <c r="M1315" s="18"/>
      <c r="N1315" s="226"/>
      <c r="R1315" s="3"/>
      <c r="S1315" s="3"/>
    </row>
    <row r="1316" spans="1:14" ht="16.5" thickBot="1" thickTop="1">
      <c r="A1316" s="492" t="s">
        <v>719</v>
      </c>
      <c r="B1316" s="169"/>
      <c r="C1316" s="3"/>
      <c r="D1316" s="3"/>
      <c r="E1316" s="3"/>
      <c r="F1316" s="3"/>
      <c r="G1316" s="3"/>
      <c r="H1316" s="177"/>
      <c r="I1316" s="177"/>
      <c r="J1316" s="177"/>
      <c r="K1316" s="476"/>
      <c r="L1316" s="113"/>
      <c r="M1316" s="18"/>
      <c r="N1316" s="226"/>
    </row>
    <row r="1317" spans="1:14" ht="18" customHeight="1" thickBot="1" thickTop="1">
      <c r="A1317" s="493" t="s">
        <v>720</v>
      </c>
      <c r="B1317" s="432"/>
      <c r="C1317" s="432"/>
      <c r="D1317" s="432"/>
      <c r="E1317" s="432"/>
      <c r="F1317" s="432"/>
      <c r="G1317" s="432"/>
      <c r="H1317" s="432"/>
      <c r="I1317" s="150"/>
      <c r="J1317" s="432"/>
      <c r="K1317" s="514"/>
      <c r="L1317" s="514"/>
      <c r="M1317" s="18"/>
      <c r="N1317" s="226"/>
    </row>
    <row r="1318" spans="1:14" ht="24.75" customHeight="1" thickBot="1" thickTop="1">
      <c r="A1318" s="150"/>
      <c r="B1318" s="150"/>
      <c r="C1318" s="150"/>
      <c r="D1318" s="150"/>
      <c r="E1318" s="150"/>
      <c r="F1318" s="150"/>
      <c r="G1318" s="150"/>
      <c r="H1318" s="150"/>
      <c r="I1318" s="150"/>
      <c r="J1318" s="304"/>
      <c r="K1318" s="544"/>
      <c r="L1318" s="544"/>
      <c r="M1318" s="18"/>
      <c r="N1318" s="226"/>
    </row>
    <row r="1319" spans="1:14" ht="15.75" thickTop="1">
      <c r="A1319" s="280" t="s">
        <v>74</v>
      </c>
      <c r="B1319" s="181"/>
      <c r="C1319" s="860" t="s">
        <v>714</v>
      </c>
      <c r="D1319" s="861"/>
      <c r="E1319" s="860" t="s">
        <v>715</v>
      </c>
      <c r="F1319" s="861"/>
      <c r="G1319" s="860" t="s">
        <v>716</v>
      </c>
      <c r="H1319" s="861"/>
      <c r="I1319" s="1018" t="s">
        <v>717</v>
      </c>
      <c r="J1319" s="1019"/>
      <c r="K1319" s="528" t="s">
        <v>718</v>
      </c>
      <c r="L1319" s="529"/>
      <c r="M1319" s="18"/>
      <c r="N1319" s="226"/>
    </row>
    <row r="1320" spans="1:14" ht="15">
      <c r="A1320" s="64"/>
      <c r="B1320" s="182"/>
      <c r="C1320" s="124" t="s">
        <v>144</v>
      </c>
      <c r="D1320" s="124" t="s">
        <v>146</v>
      </c>
      <c r="E1320" s="124" t="s">
        <v>144</v>
      </c>
      <c r="F1320" s="124" t="s">
        <v>146</v>
      </c>
      <c r="G1320" s="124" t="s">
        <v>144</v>
      </c>
      <c r="H1320" s="125" t="s">
        <v>146</v>
      </c>
      <c r="I1320" s="124" t="s">
        <v>144</v>
      </c>
      <c r="J1320" s="125" t="s">
        <v>146</v>
      </c>
      <c r="K1320" s="124" t="s">
        <v>144</v>
      </c>
      <c r="L1320" s="125" t="s">
        <v>146</v>
      </c>
      <c r="M1320" s="23"/>
      <c r="N1320" s="226"/>
    </row>
    <row r="1321" spans="1:14" ht="15.75" customHeight="1">
      <c r="A1321" s="377" t="s">
        <v>497</v>
      </c>
      <c r="B1321" s="212" t="s">
        <v>82</v>
      </c>
      <c r="C1321" s="744">
        <f>CEILING(70*$Z$1,0.1)</f>
        <v>91</v>
      </c>
      <c r="D1321" s="4"/>
      <c r="E1321" s="744">
        <f>CEILING(65*$Z$1,0.1)</f>
        <v>84.5</v>
      </c>
      <c r="F1321" s="4"/>
      <c r="G1321" s="744">
        <f>CEILING(78*$Z$1,0.1)</f>
        <v>101.4</v>
      </c>
      <c r="H1321" s="4"/>
      <c r="I1321" s="744">
        <f>CEILING(70*$Z$1,0.1)</f>
        <v>91</v>
      </c>
      <c r="J1321" s="8"/>
      <c r="K1321" s="744">
        <f>CEILING(65*$Z$1,0.1)</f>
        <v>84.5</v>
      </c>
      <c r="L1321" s="542"/>
      <c r="M1321" s="18"/>
      <c r="N1321" s="226"/>
    </row>
    <row r="1322" spans="1:14" ht="15">
      <c r="A1322" s="378" t="s">
        <v>130</v>
      </c>
      <c r="B1322" s="212" t="s">
        <v>83</v>
      </c>
      <c r="C1322" s="744">
        <f>_xlfn.CEILING.MATH((C1321+20*$Z$1),0.1)</f>
        <v>117</v>
      </c>
      <c r="D1322" s="4"/>
      <c r="E1322" s="744">
        <f>_xlfn.CEILING.MATH((E1321+20*$Z$1),0.1)</f>
        <v>110.5</v>
      </c>
      <c r="F1322" s="4"/>
      <c r="G1322" s="744">
        <f>_xlfn.CEILING.MATH((G1321+20*$Z$1),0.1)</f>
        <v>127.4</v>
      </c>
      <c r="H1322" s="4"/>
      <c r="I1322" s="744">
        <f>_xlfn.CEILING.MATH((I1321+20*$Z$1),0.1)</f>
        <v>117</v>
      </c>
      <c r="J1322" s="4"/>
      <c r="K1322" s="744">
        <f>_xlfn.CEILING.MATH((K1321+20*$Z$1),0.1)</f>
        <v>110.5</v>
      </c>
      <c r="L1322" s="542"/>
      <c r="M1322" s="18"/>
      <c r="N1322" s="226"/>
    </row>
    <row r="1323" spans="1:14" ht="15">
      <c r="A1323" s="378"/>
      <c r="B1323" s="34" t="s">
        <v>78</v>
      </c>
      <c r="C1323" s="744">
        <f>CEILING((C1321*0.85),0.1)</f>
        <v>77.4</v>
      </c>
      <c r="D1323" s="5"/>
      <c r="E1323" s="744">
        <f>CEILING((E1321*0.85),0.1)</f>
        <v>71.9</v>
      </c>
      <c r="F1323" s="5"/>
      <c r="G1323" s="744">
        <f>CEILING((G1321*0.85),0.1)</f>
        <v>86.2</v>
      </c>
      <c r="H1323" s="4"/>
      <c r="I1323" s="744">
        <f>CEILING((I1321*0.85),0.1)</f>
        <v>77.4</v>
      </c>
      <c r="J1323" s="4"/>
      <c r="K1323" s="744">
        <f>CEILING((K1321*0.85),0.1)</f>
        <v>71.9</v>
      </c>
      <c r="L1323" s="542"/>
      <c r="M1323" s="18"/>
      <c r="N1323" s="226"/>
    </row>
    <row r="1324" spans="1:14" ht="15">
      <c r="A1324" s="378"/>
      <c r="B1324" s="212" t="s">
        <v>107</v>
      </c>
      <c r="C1324" s="744">
        <f>CEILING((C1321*0.5),0.1)</f>
        <v>45.5</v>
      </c>
      <c r="D1324" s="4"/>
      <c r="E1324" s="744">
        <f>CEILING((E1321*0.5),0.1)</f>
        <v>42.300000000000004</v>
      </c>
      <c r="F1324" s="4"/>
      <c r="G1324" s="744">
        <f>CEILING((G1321*0.5),0.1)</f>
        <v>50.7</v>
      </c>
      <c r="H1324" s="4"/>
      <c r="I1324" s="744">
        <f>CEILING((I1321*0.5),0.1)</f>
        <v>45.5</v>
      </c>
      <c r="J1324" s="4"/>
      <c r="K1324" s="744">
        <f>CEILING((K1321*0.5),0.1)</f>
        <v>42.300000000000004</v>
      </c>
      <c r="L1324" s="542"/>
      <c r="M1324" s="3"/>
      <c r="N1324" s="3"/>
    </row>
    <row r="1325" spans="1:14" ht="15">
      <c r="A1325" s="378"/>
      <c r="B1325" s="205" t="s">
        <v>75</v>
      </c>
      <c r="C1325" s="738">
        <f>_xlfn.CEILING.MATH((C1321+10*$Z$1),0.1)</f>
        <v>104</v>
      </c>
      <c r="D1325" s="4"/>
      <c r="E1325" s="738">
        <f>_xlfn.CEILING.MATH((E1321+10*$Z$1),0.1)</f>
        <v>97.5</v>
      </c>
      <c r="F1325" s="4"/>
      <c r="G1325" s="738">
        <f>_xlfn.CEILING.MATH((G1321+10*$Z$1),0.1)</f>
        <v>114.4</v>
      </c>
      <c r="H1325" s="4"/>
      <c r="I1325" s="738">
        <f>_xlfn.CEILING.MATH((I1321+10*$Z$1),0.1)</f>
        <v>104</v>
      </c>
      <c r="J1325" s="4"/>
      <c r="K1325" s="738">
        <f>_xlfn.CEILING.MATH((K1321+10*$Z$1),0.1)</f>
        <v>97.5</v>
      </c>
      <c r="L1325" s="542"/>
      <c r="M1325" s="3"/>
      <c r="N1325" s="3"/>
    </row>
    <row r="1326" spans="1:14" ht="15.75" thickBot="1">
      <c r="A1326" s="105" t="s">
        <v>898</v>
      </c>
      <c r="B1326" s="457" t="s">
        <v>77</v>
      </c>
      <c r="C1326" s="751">
        <f>_xlfn.CEILING.MATH((C1325+30*$Z$1),0.1)</f>
        <v>143</v>
      </c>
      <c r="D1326" s="6"/>
      <c r="E1326" s="751">
        <f>_xlfn.CEILING.MATH((E1325+30*$Z$1),0.1)</f>
        <v>136.5</v>
      </c>
      <c r="F1326" s="7"/>
      <c r="G1326" s="751">
        <f>_xlfn.CEILING.MATH((G1325+30*$Z$1),0.1)</f>
        <v>153.4</v>
      </c>
      <c r="H1326" s="6"/>
      <c r="I1326" s="751">
        <f>_xlfn.CEILING.MATH((I1325+30*$Z$1),0.1)</f>
        <v>143</v>
      </c>
      <c r="J1326" s="6"/>
      <c r="K1326" s="751">
        <f>_xlfn.CEILING.MATH((K1325+30*$Z$1),0.1)</f>
        <v>136.5</v>
      </c>
      <c r="L1326" s="543"/>
      <c r="M1326" s="3"/>
      <c r="N1326" s="3"/>
    </row>
    <row r="1327" spans="1:14" ht="15.75" thickTop="1">
      <c r="A1327" s="626" t="s">
        <v>498</v>
      </c>
      <c r="B1327" s="213"/>
      <c r="C1327" s="3"/>
      <c r="D1327" s="3"/>
      <c r="E1327" s="3"/>
      <c r="F1327" s="3"/>
      <c r="G1327" s="3"/>
      <c r="H1327" s="3"/>
      <c r="I1327" s="3"/>
      <c r="J1327" s="144"/>
      <c r="K1327" s="440"/>
      <c r="L1327" s="440"/>
      <c r="M1327" s="3"/>
      <c r="N1327" s="3"/>
    </row>
    <row r="1328" spans="1:14" ht="20.25" customHeight="1" thickBot="1">
      <c r="A1328" s="150"/>
      <c r="B1328" s="150"/>
      <c r="C1328" s="150"/>
      <c r="D1328" s="144"/>
      <c r="E1328" s="144"/>
      <c r="F1328" s="144"/>
      <c r="G1328" s="144"/>
      <c r="H1328" s="144"/>
      <c r="I1328" s="144"/>
      <c r="J1328" s="144"/>
      <c r="K1328" s="440"/>
      <c r="L1328" s="440"/>
      <c r="M1328" s="18"/>
      <c r="N1328" s="226"/>
    </row>
    <row r="1329" spans="1:14" ht="18.75" customHeight="1" thickTop="1">
      <c r="A1329" s="1115" t="s">
        <v>74</v>
      </c>
      <c r="B1329" s="183"/>
      <c r="C1329" s="860" t="s">
        <v>735</v>
      </c>
      <c r="D1329" s="930"/>
      <c r="E1329" s="983" t="s">
        <v>751</v>
      </c>
      <c r="F1329" s="984"/>
      <c r="G1329" s="1016"/>
      <c r="H1329" s="1017"/>
      <c r="I1329" s="932"/>
      <c r="J1329" s="932"/>
      <c r="K1329" s="440"/>
      <c r="L1329" s="440"/>
      <c r="M1329" s="18"/>
      <c r="N1329" s="226"/>
    </row>
    <row r="1330" spans="1:14" ht="15">
      <c r="A1330" s="1116"/>
      <c r="B1330" s="184"/>
      <c r="C1330" s="124" t="s">
        <v>144</v>
      </c>
      <c r="D1330" s="124" t="s">
        <v>146</v>
      </c>
      <c r="E1330" s="124" t="s">
        <v>144</v>
      </c>
      <c r="F1330" s="125" t="s">
        <v>146</v>
      </c>
      <c r="G1330" s="596"/>
      <c r="H1330" s="593"/>
      <c r="I1330" s="593"/>
      <c r="J1330" s="593"/>
      <c r="K1330" s="112"/>
      <c r="L1330" s="440"/>
      <c r="M1330" s="18"/>
      <c r="N1330" s="226"/>
    </row>
    <row r="1331" spans="1:14" ht="15">
      <c r="A1331" s="59" t="s">
        <v>217</v>
      </c>
      <c r="B1331" s="101" t="s">
        <v>82</v>
      </c>
      <c r="C1331" s="744">
        <f>CEILING(60*$Z$1,0.1)</f>
        <v>78</v>
      </c>
      <c r="D1331" s="744">
        <f>_xlfn.CEILING.MATH((C1331+12*$Z$1),0.1)</f>
        <v>93.60000000000001</v>
      </c>
      <c r="E1331" s="744">
        <f>CEILING(52*$Z$1,0.1)</f>
        <v>67.60000000000001</v>
      </c>
      <c r="F1331" s="744">
        <f>_xlfn.CEILING.MATH((E1331+12*$Z$1),0.1)</f>
        <v>83.2</v>
      </c>
      <c r="G1331" s="623"/>
      <c r="H1331" s="624"/>
      <c r="I1331" s="624"/>
      <c r="J1331" s="624"/>
      <c r="K1331" s="502"/>
      <c r="L1331" s="502"/>
      <c r="M1331" s="18"/>
      <c r="N1331" s="22"/>
    </row>
    <row r="1332" spans="1:14" ht="15">
      <c r="A1332" s="56" t="s">
        <v>91</v>
      </c>
      <c r="B1332" s="34" t="s">
        <v>83</v>
      </c>
      <c r="C1332" s="744">
        <f>CEILING(70*$Z$1,0.1)</f>
        <v>91</v>
      </c>
      <c r="D1332" s="762">
        <f>_xlfn.CEILING.MATH((C1332+12*$Z$1),0.1)</f>
        <v>106.60000000000001</v>
      </c>
      <c r="E1332" s="744">
        <f>CEILING(62*$Z$1,0.1)</f>
        <v>80.60000000000001</v>
      </c>
      <c r="F1332" s="762">
        <f>_xlfn.CEILING.MATH((E1332+12*$Z$1),0.1)</f>
        <v>96.2</v>
      </c>
      <c r="G1332" s="623"/>
      <c r="H1332" s="624"/>
      <c r="I1332" s="624"/>
      <c r="J1332" s="624"/>
      <c r="K1332" s="502"/>
      <c r="L1332" s="502"/>
      <c r="M1332" s="18"/>
      <c r="N1332" s="22"/>
    </row>
    <row r="1333" spans="1:14" ht="15">
      <c r="A1333" s="56"/>
      <c r="B1333" s="167" t="s">
        <v>116</v>
      </c>
      <c r="C1333" s="744">
        <f>CEILING(48*$Z$1,0.1)</f>
        <v>62.400000000000006</v>
      </c>
      <c r="D1333" s="762">
        <f>_xlfn.CEILING.MATH((C1333+12*$Z$1),0.1)</f>
        <v>78</v>
      </c>
      <c r="E1333" s="744">
        <f>CEILING(42*$Z$1,0.1)</f>
        <v>54.6</v>
      </c>
      <c r="F1333" s="762">
        <f>_xlfn.CEILING.MATH((E1333+12*$Z$1),0.1)</f>
        <v>70.2</v>
      </c>
      <c r="G1333" s="623"/>
      <c r="H1333" s="624"/>
      <c r="I1333" s="624"/>
      <c r="J1333" s="624"/>
      <c r="K1333" s="502"/>
      <c r="L1333" s="502"/>
      <c r="M1333" s="18"/>
      <c r="N1333" s="22"/>
    </row>
    <row r="1334" spans="1:25" ht="15">
      <c r="A1334" s="267"/>
      <c r="B1334" s="167" t="s">
        <v>123</v>
      </c>
      <c r="C1334" s="744">
        <v>0</v>
      </c>
      <c r="D1334" s="762">
        <v>13</v>
      </c>
      <c r="E1334" s="744">
        <v>0</v>
      </c>
      <c r="F1334" s="762">
        <v>13</v>
      </c>
      <c r="G1334" s="623"/>
      <c r="H1334" s="624"/>
      <c r="I1334" s="624"/>
      <c r="J1334" s="624"/>
      <c r="K1334" s="128"/>
      <c r="L1334" s="502"/>
      <c r="M1334" s="18"/>
      <c r="N1334" s="22"/>
      <c r="S1334" s="936"/>
      <c r="T1334" s="936"/>
      <c r="U1334" s="936"/>
      <c r="V1334" s="936"/>
      <c r="W1334" s="936"/>
      <c r="X1334" s="936"/>
      <c r="Y1334" s="936"/>
    </row>
    <row r="1335" spans="1:25" ht="15.75" thickBot="1">
      <c r="A1335" s="105" t="s">
        <v>897</v>
      </c>
      <c r="B1335" s="15" t="s">
        <v>124</v>
      </c>
      <c r="C1335" s="751">
        <f>CEILING((C1331*0.5),0.1)</f>
        <v>39</v>
      </c>
      <c r="D1335" s="751">
        <f>CEILING((D1331*0.5),0.1)</f>
        <v>46.800000000000004</v>
      </c>
      <c r="E1335" s="751">
        <f>CEILING((E1331*0.5),0.1)</f>
        <v>33.800000000000004</v>
      </c>
      <c r="F1335" s="763">
        <f>CEILING((F1331*0.5),0.1)</f>
        <v>41.6</v>
      </c>
      <c r="G1335" s="623"/>
      <c r="H1335" s="624"/>
      <c r="I1335" s="624"/>
      <c r="J1335" s="624"/>
      <c r="K1335" s="128"/>
      <c r="L1335" s="502"/>
      <c r="M1335" s="18"/>
      <c r="N1335" s="22"/>
      <c r="S1335" s="936"/>
      <c r="T1335" s="936"/>
      <c r="U1335" s="936"/>
      <c r="V1335" s="936"/>
      <c r="W1335" s="936"/>
      <c r="X1335" s="936"/>
      <c r="Y1335" s="936"/>
    </row>
    <row r="1336" spans="1:25" ht="17.25" customHeight="1" thickTop="1">
      <c r="A1336" s="142" t="s">
        <v>753</v>
      </c>
      <c r="B1336" s="34" t="s">
        <v>754</v>
      </c>
      <c r="C1336" s="744">
        <f>CEILING(72.5*$Z$1,0.1)</f>
        <v>94.30000000000001</v>
      </c>
      <c r="D1336" s="744">
        <f>_xlfn.CEILING.MATH((C1336+12*$Z$1),0.1)</f>
        <v>109.9</v>
      </c>
      <c r="E1336" s="744">
        <f>CEILING(61*$Z$1,0.1)</f>
        <v>79.30000000000001</v>
      </c>
      <c r="F1336" s="744">
        <f>_xlfn.CEILING.MATH((E1336+12*$Z$1),0.1)</f>
        <v>94.9</v>
      </c>
      <c r="G1336" s="623"/>
      <c r="H1336" s="624"/>
      <c r="I1336" s="624"/>
      <c r="J1336" s="624"/>
      <c r="K1336" s="128"/>
      <c r="L1336" s="502"/>
      <c r="M1336" s="18"/>
      <c r="N1336" s="22"/>
      <c r="S1336" s="936"/>
      <c r="T1336" s="936"/>
      <c r="U1336" s="936"/>
      <c r="V1336" s="936"/>
      <c r="W1336" s="936"/>
      <c r="X1336" s="936"/>
      <c r="Y1336" s="936"/>
    </row>
    <row r="1337" spans="1:25" ht="16.5" customHeight="1">
      <c r="A1337" s="56" t="s">
        <v>91</v>
      </c>
      <c r="B1337" s="34" t="s">
        <v>755</v>
      </c>
      <c r="C1337" s="744">
        <f>CEILING(83*$Z$1,0.1)</f>
        <v>107.9</v>
      </c>
      <c r="D1337" s="762">
        <f>_xlfn.CEILING.MATH((C1337+12*$Z$1),0.1)</f>
        <v>123.5</v>
      </c>
      <c r="E1337" s="744">
        <f>CEILING(71*$Z$1,0.1)</f>
        <v>92.30000000000001</v>
      </c>
      <c r="F1337" s="762">
        <f>_xlfn.CEILING.MATH((E1337+12*$Z$1),0.1)</f>
        <v>107.9</v>
      </c>
      <c r="G1337" s="623"/>
      <c r="H1337" s="624"/>
      <c r="I1337" s="624"/>
      <c r="J1337" s="624"/>
      <c r="K1337" s="128"/>
      <c r="L1337" s="502"/>
      <c r="M1337" s="18"/>
      <c r="N1337" s="22"/>
      <c r="S1337" s="936"/>
      <c r="T1337" s="936"/>
      <c r="U1337" s="936"/>
      <c r="V1337" s="936"/>
      <c r="W1337" s="936"/>
      <c r="X1337" s="936"/>
      <c r="Y1337" s="936"/>
    </row>
    <row r="1338" spans="1:25" ht="16.5" customHeight="1">
      <c r="A1338" s="267"/>
      <c r="B1338" s="167" t="s">
        <v>123</v>
      </c>
      <c r="C1338" s="744">
        <v>0</v>
      </c>
      <c r="D1338" s="762">
        <v>13</v>
      </c>
      <c r="E1338" s="744">
        <v>0</v>
      </c>
      <c r="F1338" s="762">
        <v>13</v>
      </c>
      <c r="G1338" s="623"/>
      <c r="H1338" s="624"/>
      <c r="I1338" s="624"/>
      <c r="J1338" s="624"/>
      <c r="K1338" s="502"/>
      <c r="L1338" s="502"/>
      <c r="M1338" s="18"/>
      <c r="N1338" s="22"/>
      <c r="S1338" s="936"/>
      <c r="T1338" s="936"/>
      <c r="U1338" s="936"/>
      <c r="V1338" s="936"/>
      <c r="W1338" s="936"/>
      <c r="X1338" s="936"/>
      <c r="Y1338" s="936"/>
    </row>
    <row r="1339" spans="1:25" s="724" customFormat="1" ht="16.5" customHeight="1">
      <c r="A1339" s="267"/>
      <c r="B1339" s="167" t="s">
        <v>124</v>
      </c>
      <c r="C1339" s="744">
        <f>CEILING((C1336*0.5),0.1)</f>
        <v>47.2</v>
      </c>
      <c r="D1339" s="744">
        <f>CEILING((D1336*0.5),0.1)</f>
        <v>55</v>
      </c>
      <c r="E1339" s="744">
        <f>CEILING((E1336*0.5),0.1)</f>
        <v>39.7</v>
      </c>
      <c r="F1339" s="744">
        <f>CEILING((F1336*0.5),0.1)</f>
        <v>47.5</v>
      </c>
      <c r="G1339" s="728"/>
      <c r="H1339" s="729"/>
      <c r="I1339" s="729"/>
      <c r="J1339" s="729"/>
      <c r="K1339" s="502"/>
      <c r="L1339" s="502"/>
      <c r="M1339" s="18"/>
      <c r="N1339" s="22"/>
      <c r="O1339" s="244"/>
      <c r="P1339" s="244"/>
      <c r="Q1339" s="244"/>
      <c r="R1339" s="244"/>
      <c r="S1339" s="936"/>
      <c r="T1339" s="936"/>
      <c r="U1339" s="936"/>
      <c r="V1339" s="936"/>
      <c r="W1339" s="936"/>
      <c r="X1339" s="936"/>
      <c r="Y1339" s="936"/>
    </row>
    <row r="1340" spans="1:25" ht="18" customHeight="1" thickBot="1">
      <c r="A1340" s="105" t="s">
        <v>897</v>
      </c>
      <c r="B1340" s="15" t="s">
        <v>757</v>
      </c>
      <c r="C1340" s="751">
        <f>CEILING(216*$Z$1,0.1)</f>
        <v>280.8</v>
      </c>
      <c r="D1340" s="763"/>
      <c r="E1340" s="751">
        <f>CEILING(198*$Z$1,0.1)</f>
        <v>257.40000000000003</v>
      </c>
      <c r="F1340" s="763"/>
      <c r="G1340" s="623"/>
      <c r="H1340" s="624"/>
      <c r="I1340" s="624"/>
      <c r="J1340" s="624"/>
      <c r="K1340" s="502"/>
      <c r="L1340" s="502"/>
      <c r="M1340" s="18"/>
      <c r="N1340" s="22"/>
      <c r="S1340" s="936"/>
      <c r="T1340" s="936"/>
      <c r="U1340" s="936"/>
      <c r="V1340" s="936"/>
      <c r="W1340" s="936"/>
      <c r="X1340" s="936"/>
      <c r="Y1340" s="936"/>
    </row>
    <row r="1341" spans="1:25" s="724" customFormat="1" ht="18" customHeight="1" thickTop="1">
      <c r="A1341" s="142" t="s">
        <v>595</v>
      </c>
      <c r="B1341" s="34" t="s">
        <v>754</v>
      </c>
      <c r="C1341" s="744">
        <f>CEILING(82.5*$Z$1,0.1)</f>
        <v>107.30000000000001</v>
      </c>
      <c r="D1341" s="744">
        <f>_xlfn.CEILING.MATH((C1341+12*$Z$1),0.1)</f>
        <v>122.9</v>
      </c>
      <c r="E1341" s="744">
        <f>CEILING(71*$Z$1,0.1)</f>
        <v>92.30000000000001</v>
      </c>
      <c r="F1341" s="744">
        <f>_xlfn.CEILING.MATH((E1341+12*$Z$1),0.1)</f>
        <v>107.9</v>
      </c>
      <c r="G1341" s="726"/>
      <c r="H1341" s="727"/>
      <c r="I1341" s="727"/>
      <c r="J1341" s="727"/>
      <c r="K1341" s="502"/>
      <c r="L1341" s="502"/>
      <c r="M1341" s="18"/>
      <c r="N1341" s="22"/>
      <c r="O1341" s="244"/>
      <c r="P1341" s="244"/>
      <c r="Q1341" s="244"/>
      <c r="R1341" s="244"/>
      <c r="S1341" s="936"/>
      <c r="T1341" s="936"/>
      <c r="U1341" s="936"/>
      <c r="V1341" s="936"/>
      <c r="W1341" s="936"/>
      <c r="X1341" s="936"/>
      <c r="Y1341" s="936"/>
    </row>
    <row r="1342" spans="1:25" s="724" customFormat="1" ht="18" customHeight="1">
      <c r="A1342" s="56" t="s">
        <v>91</v>
      </c>
      <c r="B1342" s="34" t="s">
        <v>755</v>
      </c>
      <c r="C1342" s="744">
        <f>CEILING(93*$Z$1,0.1)</f>
        <v>120.9</v>
      </c>
      <c r="D1342" s="762">
        <f>_xlfn.CEILING.MATH((C1342+12*$Z$1),0.1)</f>
        <v>136.5</v>
      </c>
      <c r="E1342" s="744">
        <f>CEILING(81*$Z$1,0.1)</f>
        <v>105.30000000000001</v>
      </c>
      <c r="F1342" s="762">
        <f>_xlfn.CEILING.MATH((E1342+12*$Z$1),0.1)</f>
        <v>120.9</v>
      </c>
      <c r="G1342" s="726"/>
      <c r="H1342" s="727"/>
      <c r="I1342" s="727"/>
      <c r="J1342" s="727"/>
      <c r="K1342" s="502"/>
      <c r="L1342" s="502"/>
      <c r="M1342" s="18"/>
      <c r="N1342" s="22"/>
      <c r="O1342" s="244"/>
      <c r="P1342" s="244"/>
      <c r="Q1342" s="244"/>
      <c r="R1342" s="244"/>
      <c r="S1342" s="936"/>
      <c r="T1342" s="936"/>
      <c r="U1342" s="936"/>
      <c r="V1342" s="936"/>
      <c r="W1342" s="936"/>
      <c r="X1342" s="936"/>
      <c r="Y1342" s="936"/>
    </row>
    <row r="1343" spans="1:25" s="724" customFormat="1" ht="18" customHeight="1">
      <c r="A1343" s="267"/>
      <c r="B1343" s="167" t="s">
        <v>123</v>
      </c>
      <c r="C1343" s="744">
        <v>0</v>
      </c>
      <c r="D1343" s="762">
        <v>13</v>
      </c>
      <c r="E1343" s="744">
        <v>0</v>
      </c>
      <c r="F1343" s="762">
        <v>13</v>
      </c>
      <c r="G1343" s="728"/>
      <c r="H1343" s="729"/>
      <c r="I1343" s="729"/>
      <c r="J1343" s="729"/>
      <c r="K1343" s="502"/>
      <c r="L1343" s="502"/>
      <c r="M1343" s="18"/>
      <c r="N1343" s="22"/>
      <c r="O1343" s="244"/>
      <c r="P1343" s="244"/>
      <c r="Q1343" s="244"/>
      <c r="R1343" s="244"/>
      <c r="S1343" s="936"/>
      <c r="T1343" s="936"/>
      <c r="U1343" s="936"/>
      <c r="V1343" s="936"/>
      <c r="W1343" s="936"/>
      <c r="X1343" s="936"/>
      <c r="Y1343" s="936"/>
    </row>
    <row r="1344" spans="1:25" s="724" customFormat="1" ht="18" customHeight="1">
      <c r="A1344" s="267"/>
      <c r="B1344" s="167" t="s">
        <v>124</v>
      </c>
      <c r="C1344" s="744">
        <f>CEILING((C1341*0.5),0.1)</f>
        <v>53.7</v>
      </c>
      <c r="D1344" s="744">
        <f>CEILING((D1341*0.5),0.1)</f>
        <v>61.5</v>
      </c>
      <c r="E1344" s="744">
        <f>CEILING((E1341*0.5),0.1)</f>
        <v>46.2</v>
      </c>
      <c r="F1344" s="744">
        <f>CEILING((F1341*0.5),0.1)</f>
        <v>54</v>
      </c>
      <c r="G1344" s="726"/>
      <c r="H1344" s="727"/>
      <c r="I1344" s="727"/>
      <c r="J1344" s="727"/>
      <c r="K1344" s="502"/>
      <c r="L1344" s="502"/>
      <c r="M1344" s="18"/>
      <c r="N1344" s="22"/>
      <c r="O1344" s="244"/>
      <c r="P1344" s="244"/>
      <c r="Q1344" s="244"/>
      <c r="R1344" s="244"/>
      <c r="S1344" s="936"/>
      <c r="T1344" s="936"/>
      <c r="U1344" s="936"/>
      <c r="V1344" s="936"/>
      <c r="W1344" s="936"/>
      <c r="X1344" s="936"/>
      <c r="Y1344" s="936"/>
    </row>
    <row r="1345" spans="1:25" s="724" customFormat="1" ht="18" customHeight="1" thickBot="1">
      <c r="A1345" s="105" t="s">
        <v>896</v>
      </c>
      <c r="B1345" s="468" t="s">
        <v>756</v>
      </c>
      <c r="C1345" s="751">
        <f>CEILING(221*$Z$1,0.1)</f>
        <v>287.3</v>
      </c>
      <c r="D1345" s="763"/>
      <c r="E1345" s="751">
        <f>CEILING(213*$Z$1,0.1)</f>
        <v>276.90000000000003</v>
      </c>
      <c r="F1345" s="763"/>
      <c r="G1345" s="726"/>
      <c r="H1345" s="727"/>
      <c r="I1345" s="727"/>
      <c r="J1345" s="727"/>
      <c r="K1345" s="502"/>
      <c r="L1345" s="502"/>
      <c r="M1345" s="18"/>
      <c r="N1345" s="22"/>
      <c r="O1345" s="244"/>
      <c r="P1345" s="244"/>
      <c r="Q1345" s="244"/>
      <c r="R1345" s="244"/>
      <c r="S1345" s="936"/>
      <c r="T1345" s="936"/>
      <c r="U1345" s="936"/>
      <c r="V1345" s="936"/>
      <c r="W1345" s="936"/>
      <c r="X1345" s="936"/>
      <c r="Y1345" s="936"/>
    </row>
    <row r="1346" spans="1:25" s="724" customFormat="1" ht="18" customHeight="1" thickTop="1">
      <c r="A1346" s="634" t="s">
        <v>758</v>
      </c>
      <c r="B1346" s="60"/>
      <c r="C1346" s="3"/>
      <c r="D1346" s="3"/>
      <c r="E1346" s="3"/>
      <c r="F1346" s="3"/>
      <c r="G1346" s="727"/>
      <c r="H1346" s="727"/>
      <c r="I1346" s="727"/>
      <c r="J1346" s="727"/>
      <c r="K1346" s="502"/>
      <c r="L1346" s="502"/>
      <c r="M1346" s="18"/>
      <c r="N1346" s="22"/>
      <c r="O1346" s="244"/>
      <c r="P1346" s="244"/>
      <c r="Q1346" s="244"/>
      <c r="R1346" s="244"/>
      <c r="S1346" s="936"/>
      <c r="T1346" s="936"/>
      <c r="U1346" s="936"/>
      <c r="V1346" s="936"/>
      <c r="W1346" s="936"/>
      <c r="X1346" s="936"/>
      <c r="Y1346" s="936"/>
    </row>
    <row r="1347" spans="1:25" ht="17.25" customHeight="1" thickBot="1">
      <c r="A1347" s="150"/>
      <c r="B1347" s="150"/>
      <c r="C1347" s="150"/>
      <c r="D1347" s="150"/>
      <c r="E1347" s="150"/>
      <c r="F1347" s="150"/>
      <c r="G1347" s="144"/>
      <c r="H1347" s="144"/>
      <c r="I1347" s="144"/>
      <c r="J1347" s="290"/>
      <c r="K1347" s="502"/>
      <c r="L1347" s="502"/>
      <c r="M1347" s="18"/>
      <c r="N1347" s="22"/>
      <c r="S1347" s="936"/>
      <c r="T1347" s="936"/>
      <c r="U1347" s="936"/>
      <c r="V1347" s="936"/>
      <c r="W1347" s="936"/>
      <c r="X1347" s="936"/>
      <c r="Y1347" s="936"/>
    </row>
    <row r="1348" spans="1:25" ht="15.75" thickTop="1">
      <c r="A1348" s="1115" t="s">
        <v>74</v>
      </c>
      <c r="B1348" s="183"/>
      <c r="C1348" s="860" t="s">
        <v>735</v>
      </c>
      <c r="D1348" s="930"/>
      <c r="E1348" s="983" t="s">
        <v>751</v>
      </c>
      <c r="F1348" s="984"/>
      <c r="G1348" s="1016"/>
      <c r="H1348" s="1017"/>
      <c r="I1348" s="932"/>
      <c r="J1348" s="932"/>
      <c r="K1348" s="128"/>
      <c r="L1348" s="502"/>
      <c r="M1348" s="18"/>
      <c r="N1348" s="22"/>
      <c r="S1348" s="936"/>
      <c r="T1348" s="936"/>
      <c r="U1348" s="936"/>
      <c r="V1348" s="936"/>
      <c r="W1348" s="936"/>
      <c r="X1348" s="936"/>
      <c r="Y1348" s="936"/>
    </row>
    <row r="1349" spans="1:25" ht="15">
      <c r="A1349" s="1116"/>
      <c r="B1349" s="184"/>
      <c r="C1349" s="124" t="s">
        <v>144</v>
      </c>
      <c r="D1349" s="124" t="s">
        <v>146</v>
      </c>
      <c r="E1349" s="124" t="s">
        <v>144</v>
      </c>
      <c r="F1349" s="125" t="s">
        <v>146</v>
      </c>
      <c r="G1349" s="596"/>
      <c r="H1349" s="593"/>
      <c r="I1349" s="593"/>
      <c r="J1349" s="593"/>
      <c r="K1349" s="128"/>
      <c r="L1349" s="502"/>
      <c r="M1349" s="18"/>
      <c r="N1349" s="22"/>
      <c r="S1349" s="936"/>
      <c r="T1349" s="936"/>
      <c r="U1349" s="936"/>
      <c r="V1349" s="936"/>
      <c r="W1349" s="936"/>
      <c r="X1349" s="936"/>
      <c r="Y1349" s="936"/>
    </row>
    <row r="1350" spans="1:25" ht="16.5" customHeight="1">
      <c r="A1350" s="59" t="s">
        <v>218</v>
      </c>
      <c r="B1350" s="101" t="s">
        <v>82</v>
      </c>
      <c r="C1350" s="744">
        <f>CEILING(66*$Z$1,0.1)</f>
        <v>85.80000000000001</v>
      </c>
      <c r="D1350" s="744">
        <f>_xlfn.CEILING.MATH((C1350+12*$Z$1),0.1)</f>
        <v>101.4</v>
      </c>
      <c r="E1350" s="744">
        <f>CEILING(55*$Z$1,0.1)</f>
        <v>71.5</v>
      </c>
      <c r="F1350" s="744">
        <f>_xlfn.CEILING.MATH((E1350+12*$Z$1),0.1)</f>
        <v>87.10000000000001</v>
      </c>
      <c r="G1350" s="623"/>
      <c r="H1350" s="624"/>
      <c r="I1350" s="624"/>
      <c r="J1350" s="624"/>
      <c r="K1350" s="502"/>
      <c r="L1350" s="502"/>
      <c r="M1350" s="18"/>
      <c r="N1350" s="22"/>
      <c r="S1350" s="936"/>
      <c r="T1350" s="936"/>
      <c r="U1350" s="936"/>
      <c r="V1350" s="936"/>
      <c r="W1350" s="936"/>
      <c r="X1350" s="936"/>
      <c r="Y1350" s="936"/>
    </row>
    <row r="1351" spans="1:25" ht="15">
      <c r="A1351" s="56" t="s">
        <v>91</v>
      </c>
      <c r="B1351" s="34" t="s">
        <v>83</v>
      </c>
      <c r="C1351" s="744">
        <f>CEILING(78*$Z$1,0.1)</f>
        <v>101.4</v>
      </c>
      <c r="D1351" s="762">
        <f>_xlfn.CEILING.MATH((C1351+12*$Z$1),0.1)</f>
        <v>117</v>
      </c>
      <c r="E1351" s="744">
        <f>CEILING(67*$Z$1,0.1)</f>
        <v>87.10000000000001</v>
      </c>
      <c r="F1351" s="762">
        <f>_xlfn.CEILING.MATH((E1351+12*$Z$1),0.1)</f>
        <v>102.7</v>
      </c>
      <c r="G1351" s="623"/>
      <c r="H1351" s="624"/>
      <c r="I1351" s="624"/>
      <c r="J1351" s="624"/>
      <c r="K1351" s="502"/>
      <c r="L1351" s="502"/>
      <c r="M1351" s="18"/>
      <c r="N1351" s="22"/>
      <c r="P1351" s="271"/>
      <c r="Q1351" s="255"/>
      <c r="R1351" s="255"/>
      <c r="S1351" s="936"/>
      <c r="T1351" s="936"/>
      <c r="U1351" s="936"/>
      <c r="V1351" s="936"/>
      <c r="W1351" s="936"/>
      <c r="X1351" s="936"/>
      <c r="Y1351" s="936"/>
    </row>
    <row r="1352" spans="1:25" ht="15">
      <c r="A1352" s="267"/>
      <c r="B1352" s="167" t="s">
        <v>123</v>
      </c>
      <c r="C1352" s="744">
        <v>0</v>
      </c>
      <c r="D1352" s="762">
        <v>13</v>
      </c>
      <c r="E1352" s="744">
        <v>0</v>
      </c>
      <c r="F1352" s="762">
        <v>13</v>
      </c>
      <c r="G1352" s="623"/>
      <c r="H1352" s="624"/>
      <c r="I1352" s="624"/>
      <c r="J1352" s="624"/>
      <c r="K1352" s="502"/>
      <c r="L1352" s="502"/>
      <c r="M1352" s="18"/>
      <c r="N1352" s="22"/>
      <c r="P1352" s="271"/>
      <c r="Q1352" s="17"/>
      <c r="R1352" s="17"/>
      <c r="S1352" s="936"/>
      <c r="T1352" s="936"/>
      <c r="U1352" s="936"/>
      <c r="V1352" s="936"/>
      <c r="W1352" s="936"/>
      <c r="X1352" s="936"/>
      <c r="Y1352" s="936"/>
    </row>
    <row r="1353" spans="1:25" ht="15">
      <c r="A1353" s="267"/>
      <c r="B1353" s="14" t="s">
        <v>124</v>
      </c>
      <c r="C1353" s="744">
        <f>CEILING((C1350*0.5),0.1)</f>
        <v>42.900000000000006</v>
      </c>
      <c r="D1353" s="744">
        <f>CEILING((D1350*0.5),0.1)</f>
        <v>50.7</v>
      </c>
      <c r="E1353" s="744">
        <f>CEILING((E1350*0.5),0.1)</f>
        <v>35.800000000000004</v>
      </c>
      <c r="F1353" s="744">
        <f>CEILING((F1350*0.5),0.1)</f>
        <v>43.6</v>
      </c>
      <c r="G1353" s="623"/>
      <c r="H1353" s="624"/>
      <c r="I1353" s="624"/>
      <c r="J1353" s="624"/>
      <c r="K1353" s="502"/>
      <c r="L1353" s="502"/>
      <c r="M1353" s="18"/>
      <c r="N1353" s="22"/>
      <c r="P1353" s="271"/>
      <c r="Q1353" s="3"/>
      <c r="R1353" s="3"/>
      <c r="S1353" s="936"/>
      <c r="T1353" s="936"/>
      <c r="U1353" s="936"/>
      <c r="V1353" s="936"/>
      <c r="W1353" s="936"/>
      <c r="X1353" s="936"/>
      <c r="Y1353" s="936"/>
    </row>
    <row r="1354" spans="1:25" ht="17.25" customHeight="1">
      <c r="A1354" s="267"/>
      <c r="B1354" s="14" t="s">
        <v>75</v>
      </c>
      <c r="C1354" s="744">
        <f>CEILING(68*$Z$1,0.1)</f>
        <v>88.4</v>
      </c>
      <c r="D1354" s="762">
        <f>_xlfn.CEILING.MATH((C1354+12*$Z$1),0.1)</f>
        <v>104</v>
      </c>
      <c r="E1354" s="744">
        <f>CEILING(57*$Z$1,0.1)</f>
        <v>74.10000000000001</v>
      </c>
      <c r="F1354" s="762">
        <f>_xlfn.CEILING.MATH((E1354+12*$Z$1),0.1)</f>
        <v>89.7</v>
      </c>
      <c r="G1354" s="623"/>
      <c r="H1354" s="624"/>
      <c r="I1354" s="624"/>
      <c r="J1354" s="624"/>
      <c r="K1354" s="502"/>
      <c r="L1354" s="502"/>
      <c r="M1354" s="18"/>
      <c r="N1354" s="22"/>
      <c r="P1354" s="271"/>
      <c r="Q1354" s="3"/>
      <c r="R1354" s="3"/>
      <c r="S1354" s="936"/>
      <c r="T1354" s="936"/>
      <c r="U1354" s="936"/>
      <c r="V1354" s="936"/>
      <c r="W1354" s="936"/>
      <c r="X1354" s="936"/>
      <c r="Y1354" s="936"/>
    </row>
    <row r="1355" spans="1:25" ht="18.75" customHeight="1" thickBot="1">
      <c r="A1355" s="105" t="s">
        <v>895</v>
      </c>
      <c r="B1355" s="15" t="s">
        <v>77</v>
      </c>
      <c r="C1355" s="751">
        <f>CEILING(82*$Z$1,0.1)</f>
        <v>106.60000000000001</v>
      </c>
      <c r="D1355" s="763">
        <f>_xlfn.CEILING.MATH((C1355+12*$Z$1),0.1)</f>
        <v>122.2</v>
      </c>
      <c r="E1355" s="751">
        <f>CEILING(71*$Z$1,0.1)</f>
        <v>92.30000000000001</v>
      </c>
      <c r="F1355" s="763">
        <f>_xlfn.CEILING.MATH((E1355+12*$Z$1),0.1)</f>
        <v>107.9</v>
      </c>
      <c r="G1355" s="623"/>
      <c r="H1355" s="624"/>
      <c r="I1355" s="624"/>
      <c r="J1355" s="624"/>
      <c r="K1355" s="502"/>
      <c r="L1355" s="502"/>
      <c r="M1355" s="18"/>
      <c r="N1355" s="22"/>
      <c r="P1355" s="271"/>
      <c r="Q1355" s="3"/>
      <c r="R1355" s="3"/>
      <c r="S1355" s="936"/>
      <c r="T1355" s="936"/>
      <c r="U1355" s="936"/>
      <c r="V1355" s="936"/>
      <c r="W1355" s="936"/>
      <c r="X1355" s="936"/>
      <c r="Y1355" s="936"/>
    </row>
    <row r="1356" spans="1:25" ht="15.75" thickTop="1">
      <c r="A1356" s="634" t="s">
        <v>752</v>
      </c>
      <c r="B1356" s="60"/>
      <c r="C1356" s="3"/>
      <c r="D1356" s="3"/>
      <c r="E1356" s="3"/>
      <c r="F1356" s="3"/>
      <c r="G1356" s="624"/>
      <c r="H1356" s="624"/>
      <c r="I1356" s="624"/>
      <c r="J1356" s="624"/>
      <c r="K1356" s="502"/>
      <c r="L1356" s="502"/>
      <c r="M1356" s="18"/>
      <c r="N1356" s="22"/>
      <c r="P1356" s="271"/>
      <c r="Q1356" s="3"/>
      <c r="R1356" s="3"/>
      <c r="S1356" s="936"/>
      <c r="T1356" s="936"/>
      <c r="U1356" s="936"/>
      <c r="V1356" s="936"/>
      <c r="W1356" s="936"/>
      <c r="X1356" s="936"/>
      <c r="Y1356" s="936"/>
    </row>
    <row r="1357" spans="1:25" ht="15.75" thickBot="1">
      <c r="A1357" s="95"/>
      <c r="B1357" s="62"/>
      <c r="C1357" s="2"/>
      <c r="D1357" s="2"/>
      <c r="E1357" s="3"/>
      <c r="F1357" s="3"/>
      <c r="G1357" s="624"/>
      <c r="H1357" s="624"/>
      <c r="I1357" s="624"/>
      <c r="J1357" s="556"/>
      <c r="K1357" s="502"/>
      <c r="L1357" s="502"/>
      <c r="M1357" s="18"/>
      <c r="N1357" s="22"/>
      <c r="S1357" s="936"/>
      <c r="T1357" s="936"/>
      <c r="U1357" s="936"/>
      <c r="V1357" s="936"/>
      <c r="W1357" s="936"/>
      <c r="X1357" s="936"/>
      <c r="Y1357" s="936"/>
    </row>
    <row r="1358" spans="1:25" ht="15.75" thickTop="1">
      <c r="A1358" s="1115" t="s">
        <v>74</v>
      </c>
      <c r="B1358" s="183"/>
      <c r="C1358" s="860" t="s">
        <v>994</v>
      </c>
      <c r="D1358" s="855"/>
      <c r="E1358" s="1118"/>
      <c r="F1358" s="932"/>
      <c r="G1358" s="1017"/>
      <c r="H1358" s="1017"/>
      <c r="I1358" s="932"/>
      <c r="J1358" s="932"/>
      <c r="K1358" s="502"/>
      <c r="L1358" s="502"/>
      <c r="M1358" s="18"/>
      <c r="N1358" s="22"/>
      <c r="S1358" s="936"/>
      <c r="T1358" s="936"/>
      <c r="U1358" s="936"/>
      <c r="V1358" s="936"/>
      <c r="W1358" s="936"/>
      <c r="X1358" s="936"/>
      <c r="Y1358" s="936"/>
    </row>
    <row r="1359" spans="1:25" ht="15">
      <c r="A1359" s="1116"/>
      <c r="B1359" s="184"/>
      <c r="C1359" s="124" t="s">
        <v>144</v>
      </c>
      <c r="D1359" s="125" t="s">
        <v>146</v>
      </c>
      <c r="E1359" s="596"/>
      <c r="F1359" s="593"/>
      <c r="G1359" s="593"/>
      <c r="H1359" s="593"/>
      <c r="I1359" s="593"/>
      <c r="J1359" s="593"/>
      <c r="K1359" s="128"/>
      <c r="L1359" s="502"/>
      <c r="M1359" s="18"/>
      <c r="N1359" s="22"/>
      <c r="S1359" s="936"/>
      <c r="T1359" s="936"/>
      <c r="U1359" s="936"/>
      <c r="V1359" s="936"/>
      <c r="W1359" s="936"/>
      <c r="X1359" s="936"/>
      <c r="Y1359" s="936"/>
    </row>
    <row r="1360" spans="1:25" ht="15">
      <c r="A1360" s="59" t="s">
        <v>219</v>
      </c>
      <c r="B1360" s="101" t="s">
        <v>82</v>
      </c>
      <c r="C1360" s="828">
        <f>CEILING(61*$Z$1,0.1)</f>
        <v>79.30000000000001</v>
      </c>
      <c r="D1360" s="828">
        <f>CEILING((C1360+8*$Z$1),0.1)</f>
        <v>89.7</v>
      </c>
      <c r="E1360" s="829"/>
      <c r="F1360" s="830"/>
      <c r="G1360" s="830"/>
      <c r="H1360" s="624"/>
      <c r="I1360" s="624"/>
      <c r="J1360" s="624"/>
      <c r="K1360" s="128"/>
      <c r="L1360" s="503"/>
      <c r="M1360" s="244"/>
      <c r="S1360" s="936"/>
      <c r="T1360" s="936"/>
      <c r="U1360" s="936"/>
      <c r="V1360" s="936"/>
      <c r="W1360" s="936"/>
      <c r="X1360" s="936"/>
      <c r="Y1360" s="936"/>
    </row>
    <row r="1361" spans="1:25" ht="15">
      <c r="A1361" s="56" t="s">
        <v>130</v>
      </c>
      <c r="B1361" s="34" t="s">
        <v>83</v>
      </c>
      <c r="C1361" s="828">
        <f>CEILING((C1360+15*$Z$1),0.1)</f>
        <v>98.80000000000001</v>
      </c>
      <c r="D1361" s="762">
        <f>CEILING((C1361+8*$Z$1),0.1)</f>
        <v>109.2</v>
      </c>
      <c r="E1361" s="829"/>
      <c r="F1361" s="830"/>
      <c r="G1361" s="830"/>
      <c r="H1361" s="624"/>
      <c r="I1361" s="624"/>
      <c r="J1361" s="624"/>
      <c r="K1361" s="128"/>
      <c r="L1361" s="503"/>
      <c r="M1361" s="244"/>
      <c r="S1361" s="936"/>
      <c r="T1361" s="936"/>
      <c r="U1361" s="936"/>
      <c r="V1361" s="936"/>
      <c r="W1361" s="936"/>
      <c r="X1361" s="936"/>
      <c r="Y1361" s="936"/>
    </row>
    <row r="1362" spans="1:25" ht="15">
      <c r="A1362" s="267"/>
      <c r="B1362" s="34" t="s">
        <v>78</v>
      </c>
      <c r="C1362" s="828">
        <f>CEILING((C1360*0.85),0.1)</f>
        <v>67.5</v>
      </c>
      <c r="D1362" s="762">
        <f>CEILING((C1362+8*$Z$1),0.1)</f>
        <v>77.9</v>
      </c>
      <c r="E1362" s="829"/>
      <c r="F1362" s="830"/>
      <c r="G1362" s="830"/>
      <c r="H1362" s="624"/>
      <c r="I1362" s="624"/>
      <c r="J1362" s="624"/>
      <c r="K1362" s="128"/>
      <c r="L1362" s="503"/>
      <c r="M1362" s="244"/>
      <c r="P1362" s="271"/>
      <c r="Q1362" s="255"/>
      <c r="R1362" s="255"/>
      <c r="S1362" s="936"/>
      <c r="T1362" s="936"/>
      <c r="U1362" s="936"/>
      <c r="V1362" s="936"/>
      <c r="W1362" s="936"/>
      <c r="X1362" s="936"/>
      <c r="Y1362" s="936"/>
    </row>
    <row r="1363" spans="1:25" ht="15.75" thickBot="1">
      <c r="A1363" s="105" t="s">
        <v>993</v>
      </c>
      <c r="B1363" s="15" t="s">
        <v>107</v>
      </c>
      <c r="C1363" s="831">
        <f>CEILING((C1360*0.5),0.1)</f>
        <v>39.7</v>
      </c>
      <c r="D1363" s="831">
        <f>CEILING((D1360*0.5),0.1)</f>
        <v>44.900000000000006</v>
      </c>
      <c r="E1363" s="829"/>
      <c r="F1363" s="830"/>
      <c r="G1363" s="830"/>
      <c r="H1363" s="624"/>
      <c r="I1363" s="624"/>
      <c r="J1363" s="624"/>
      <c r="K1363" s="515"/>
      <c r="L1363" s="241"/>
      <c r="M1363" s="244"/>
      <c r="P1363" s="271"/>
      <c r="Q1363" s="17"/>
      <c r="R1363" s="17"/>
      <c r="S1363" s="936"/>
      <c r="T1363" s="936"/>
      <c r="U1363" s="936"/>
      <c r="V1363" s="936"/>
      <c r="W1363" s="936"/>
      <c r="X1363" s="936"/>
      <c r="Y1363" s="936"/>
    </row>
    <row r="1364" spans="1:25" ht="15.75" thickTop="1">
      <c r="A1364" s="634" t="s">
        <v>995</v>
      </c>
      <c r="B1364" s="60"/>
      <c r="C1364" s="3"/>
      <c r="D1364" s="3"/>
      <c r="E1364" s="3"/>
      <c r="F1364" s="3"/>
      <c r="G1364" s="624"/>
      <c r="H1364" s="624"/>
      <c r="I1364" s="624"/>
      <c r="J1364" s="624"/>
      <c r="K1364" s="515"/>
      <c r="L1364" s="241"/>
      <c r="M1364" s="244"/>
      <c r="P1364" s="271"/>
      <c r="Q1364" s="17"/>
      <c r="R1364" s="17"/>
      <c r="S1364" s="936"/>
      <c r="T1364" s="936"/>
      <c r="U1364" s="936"/>
      <c r="V1364" s="936"/>
      <c r="W1364" s="936"/>
      <c r="X1364" s="936"/>
      <c r="Y1364" s="936"/>
    </row>
    <row r="1365" spans="1:25" ht="15.75" thickBot="1">
      <c r="A1365" s="95"/>
      <c r="B1365" s="62"/>
      <c r="C1365" s="2"/>
      <c r="D1365" s="2"/>
      <c r="E1365" s="2"/>
      <c r="F1365" s="2"/>
      <c r="G1365" s="2"/>
      <c r="H1365" s="2"/>
      <c r="I1365" s="3"/>
      <c r="J1365" s="290"/>
      <c r="K1365" s="490"/>
      <c r="L1365" s="490"/>
      <c r="M1365" s="271"/>
      <c r="P1365" s="271"/>
      <c r="Q1365" s="3"/>
      <c r="R1365" s="3"/>
      <c r="S1365" s="936"/>
      <c r="T1365" s="936"/>
      <c r="U1365" s="936"/>
      <c r="V1365" s="936"/>
      <c r="W1365" s="936"/>
      <c r="X1365" s="936"/>
      <c r="Y1365" s="936"/>
    </row>
    <row r="1366" spans="1:25" ht="15.75" thickTop="1">
      <c r="A1366" s="949" t="s">
        <v>74</v>
      </c>
      <c r="B1366" s="123"/>
      <c r="C1366" s="863" t="s">
        <v>437</v>
      </c>
      <c r="D1366" s="953"/>
      <c r="E1366" s="852" t="s">
        <v>510</v>
      </c>
      <c r="F1366" s="853"/>
      <c r="G1366" s="915" t="s">
        <v>511</v>
      </c>
      <c r="H1366" s="977"/>
      <c r="I1366" s="595"/>
      <c r="J1366" s="591"/>
      <c r="K1366" s="638"/>
      <c r="L1366" s="638"/>
      <c r="M1366" s="271"/>
      <c r="P1366" s="271"/>
      <c r="Q1366" s="3"/>
      <c r="R1366" s="3"/>
      <c r="S1366" s="936"/>
      <c r="T1366" s="936"/>
      <c r="U1366" s="936"/>
      <c r="V1366" s="936"/>
      <c r="W1366" s="936"/>
      <c r="X1366" s="936"/>
      <c r="Y1366" s="936"/>
    </row>
    <row r="1367" spans="1:25" ht="15">
      <c r="A1367" s="950"/>
      <c r="B1367" s="126"/>
      <c r="C1367" s="124" t="s">
        <v>144</v>
      </c>
      <c r="D1367" s="124" t="s">
        <v>146</v>
      </c>
      <c r="E1367" s="124" t="s">
        <v>144</v>
      </c>
      <c r="F1367" s="125" t="s">
        <v>146</v>
      </c>
      <c r="G1367" s="124" t="s">
        <v>144</v>
      </c>
      <c r="H1367" s="125" t="s">
        <v>146</v>
      </c>
      <c r="I1367" s="596"/>
      <c r="J1367" s="593"/>
      <c r="K1367" s="594"/>
      <c r="L1367" s="594"/>
      <c r="M1367" s="271"/>
      <c r="P1367" s="271"/>
      <c r="Q1367" s="3"/>
      <c r="R1367" s="3"/>
      <c r="S1367" s="936"/>
      <c r="T1367" s="936"/>
      <c r="U1367" s="936"/>
      <c r="V1367" s="936"/>
      <c r="W1367" s="936"/>
      <c r="X1367" s="936"/>
      <c r="Y1367" s="936"/>
    </row>
    <row r="1368" spans="1:25" ht="15">
      <c r="A1368" s="39" t="s">
        <v>220</v>
      </c>
      <c r="B1368" s="101" t="s">
        <v>82</v>
      </c>
      <c r="C1368" s="744">
        <f>CEILING(40*$Z$1,0.1)</f>
        <v>52</v>
      </c>
      <c r="D1368" s="744">
        <f>_xlfn.CEILING.MATH((C1368+12*$Z$1),0.1)</f>
        <v>67.60000000000001</v>
      </c>
      <c r="E1368" s="744">
        <f>CEILING(60*$Z$1,0.1)</f>
        <v>78</v>
      </c>
      <c r="F1368" s="744">
        <f>_xlfn.CEILING.MATH((E1368+12*$Z$1),0.1)</f>
        <v>93.60000000000001</v>
      </c>
      <c r="G1368" s="744">
        <f>CEILING(40*$Z$1,0.1)</f>
        <v>52</v>
      </c>
      <c r="H1368" s="744">
        <f>_xlfn.CEILING.MATH((G1368+12*$Z$1),0.1)</f>
        <v>67.60000000000001</v>
      </c>
      <c r="I1368" s="636"/>
      <c r="J1368" s="637"/>
      <c r="K1368" s="590"/>
      <c r="L1368" s="590"/>
      <c r="M1368" s="244"/>
      <c r="P1368" s="271"/>
      <c r="Q1368" s="271"/>
      <c r="R1368" s="271"/>
      <c r="S1368" s="936"/>
      <c r="T1368" s="936"/>
      <c r="U1368" s="936"/>
      <c r="V1368" s="936"/>
      <c r="W1368" s="936"/>
      <c r="X1368" s="936"/>
      <c r="Y1368" s="936"/>
    </row>
    <row r="1369" spans="1:25" ht="15">
      <c r="A1369" s="40" t="s">
        <v>130</v>
      </c>
      <c r="B1369" s="34" t="s">
        <v>83</v>
      </c>
      <c r="C1369" s="744">
        <f>_xlfn.CEILING.MATH((C1368+20*$Z$1),0.1)</f>
        <v>78</v>
      </c>
      <c r="D1369" s="762">
        <f>_xlfn.CEILING.MATH((C1369+12*$Z$1),0.1)</f>
        <v>93.60000000000001</v>
      </c>
      <c r="E1369" s="744">
        <f>_xlfn.CEILING.MATH((E1368+20*$Z$1),0.1)</f>
        <v>104</v>
      </c>
      <c r="F1369" s="762">
        <f>_xlfn.CEILING.MATH((E1369+12*$Z$1),0.1)</f>
        <v>119.60000000000001</v>
      </c>
      <c r="G1369" s="744">
        <f>_xlfn.CEILING.MATH((G1368+20*$Z$1),0.1)</f>
        <v>78</v>
      </c>
      <c r="H1369" s="762">
        <f>_xlfn.CEILING.MATH((G1369+12*$Z$1),0.1)</f>
        <v>93.60000000000001</v>
      </c>
      <c r="I1369" s="636"/>
      <c r="J1369" s="637"/>
      <c r="K1369" s="590"/>
      <c r="L1369" s="590"/>
      <c r="M1369" s="244"/>
      <c r="S1369" s="936"/>
      <c r="T1369" s="936"/>
      <c r="U1369" s="936"/>
      <c r="V1369" s="936"/>
      <c r="W1369" s="936"/>
      <c r="X1369" s="936"/>
      <c r="Y1369" s="936"/>
    </row>
    <row r="1370" spans="1:25" ht="15.75" thickBot="1">
      <c r="A1370" s="104" t="s">
        <v>893</v>
      </c>
      <c r="B1370" s="15" t="s">
        <v>160</v>
      </c>
      <c r="C1370" s="751">
        <f aca="true" t="shared" si="15" ref="C1370:H1370">CEILING((C1368*0.5),0.1)</f>
        <v>26</v>
      </c>
      <c r="D1370" s="751">
        <f t="shared" si="15"/>
        <v>33.800000000000004</v>
      </c>
      <c r="E1370" s="751">
        <f t="shared" si="15"/>
        <v>39</v>
      </c>
      <c r="F1370" s="751">
        <f t="shared" si="15"/>
        <v>46.800000000000004</v>
      </c>
      <c r="G1370" s="751">
        <f t="shared" si="15"/>
        <v>26</v>
      </c>
      <c r="H1370" s="751">
        <f t="shared" si="15"/>
        <v>33.800000000000004</v>
      </c>
      <c r="I1370" s="636"/>
      <c r="J1370" s="637"/>
      <c r="K1370" s="590"/>
      <c r="L1370" s="590"/>
      <c r="M1370" s="244"/>
      <c r="S1370" s="936"/>
      <c r="T1370" s="936"/>
      <c r="U1370" s="936"/>
      <c r="V1370" s="936"/>
      <c r="W1370" s="936"/>
      <c r="X1370" s="936"/>
      <c r="Y1370" s="936"/>
    </row>
    <row r="1371" spans="1:25" ht="17.25" customHeight="1" thickTop="1">
      <c r="A1371" s="144" t="s">
        <v>787</v>
      </c>
      <c r="B1371" s="144"/>
      <c r="C1371" s="144"/>
      <c r="D1371" s="144"/>
      <c r="E1371" s="144"/>
      <c r="F1371" s="144"/>
      <c r="G1371" s="144"/>
      <c r="H1371" s="144"/>
      <c r="I1371" s="651"/>
      <c r="J1371" s="637"/>
      <c r="K1371" s="602"/>
      <c r="L1371" s="602"/>
      <c r="M1371" s="244"/>
      <c r="S1371" s="936"/>
      <c r="T1371" s="936"/>
      <c r="U1371" s="936"/>
      <c r="V1371" s="936"/>
      <c r="W1371" s="936"/>
      <c r="X1371" s="936"/>
      <c r="Y1371" s="936"/>
    </row>
    <row r="1372" spans="1:13" ht="15.75" thickBot="1">
      <c r="A1372" s="95"/>
      <c r="B1372" s="170"/>
      <c r="C1372" s="2"/>
      <c r="D1372" s="2"/>
      <c r="E1372" s="2"/>
      <c r="F1372" s="2"/>
      <c r="G1372" s="2"/>
      <c r="H1372" s="2"/>
      <c r="I1372" s="637"/>
      <c r="J1372" s="556"/>
      <c r="K1372" s="638"/>
      <c r="L1372" s="638"/>
      <c r="M1372" s="271"/>
    </row>
    <row r="1373" spans="1:13" ht="15.75" thickTop="1">
      <c r="A1373" s="949" t="s">
        <v>74</v>
      </c>
      <c r="B1373" s="123"/>
      <c r="C1373" s="863" t="s">
        <v>665</v>
      </c>
      <c r="D1373" s="953"/>
      <c r="E1373" s="852" t="s">
        <v>784</v>
      </c>
      <c r="F1373" s="853"/>
      <c r="G1373" s="915" t="s">
        <v>723</v>
      </c>
      <c r="H1373" s="916"/>
      <c r="I1373" s="595"/>
      <c r="J1373" s="591"/>
      <c r="K1373" s="638"/>
      <c r="L1373" s="638"/>
      <c r="M1373" s="271"/>
    </row>
    <row r="1374" spans="1:13" ht="15">
      <c r="A1374" s="950"/>
      <c r="B1374" s="126"/>
      <c r="C1374" s="124" t="s">
        <v>144</v>
      </c>
      <c r="D1374" s="124" t="s">
        <v>146</v>
      </c>
      <c r="E1374" s="124" t="s">
        <v>144</v>
      </c>
      <c r="F1374" s="125" t="s">
        <v>146</v>
      </c>
      <c r="G1374" s="124" t="s">
        <v>144</v>
      </c>
      <c r="H1374" s="125" t="s">
        <v>146</v>
      </c>
      <c r="I1374" s="596"/>
      <c r="J1374" s="593"/>
      <c r="K1374" s="594"/>
      <c r="L1374" s="594"/>
      <c r="M1374" s="271"/>
    </row>
    <row r="1375" spans="1:25" ht="16.5" customHeight="1">
      <c r="A1375" s="39" t="s">
        <v>69</v>
      </c>
      <c r="B1375" s="101" t="s">
        <v>82</v>
      </c>
      <c r="C1375" s="744">
        <f>CEILING(40*$Z$1,0.1)</f>
        <v>52</v>
      </c>
      <c r="D1375" s="744">
        <f>_xlfn.CEILING.MATH((C1375+12*$Z$1),0.1)</f>
        <v>67.60000000000001</v>
      </c>
      <c r="E1375" s="744">
        <f>CEILING(60*$Z$1,0.1)</f>
        <v>78</v>
      </c>
      <c r="F1375" s="744">
        <f>_xlfn.CEILING.MATH((E1375+12*$Z$1),0.1)</f>
        <v>93.60000000000001</v>
      </c>
      <c r="G1375" s="744">
        <f>CEILING(40*$Z$1,0.1)</f>
        <v>52</v>
      </c>
      <c r="H1375" s="744">
        <f>_xlfn.CEILING.MATH((G1375+12*$Z$1),0.1)</f>
        <v>67.60000000000001</v>
      </c>
      <c r="I1375" s="636"/>
      <c r="J1375" s="637"/>
      <c r="K1375" s="590"/>
      <c r="L1375" s="590"/>
      <c r="M1375" s="244"/>
      <c r="W1375"/>
      <c r="X1375"/>
      <c r="Y1375"/>
    </row>
    <row r="1376" spans="1:25" ht="15">
      <c r="A1376" s="40" t="s">
        <v>130</v>
      </c>
      <c r="B1376" s="34" t="s">
        <v>83</v>
      </c>
      <c r="C1376" s="744">
        <f>_xlfn.CEILING.MATH((C1375+20*$Z$1),0.1)</f>
        <v>78</v>
      </c>
      <c r="D1376" s="762">
        <f>_xlfn.CEILING.MATH((C1376+12*$Z$1),0.1)</f>
        <v>93.60000000000001</v>
      </c>
      <c r="E1376" s="744">
        <f>_xlfn.CEILING.MATH((E1375+20*$Z$1),0.1)</f>
        <v>104</v>
      </c>
      <c r="F1376" s="762">
        <f>_xlfn.CEILING.MATH((E1376+12*$Z$1),0.1)</f>
        <v>119.60000000000001</v>
      </c>
      <c r="G1376" s="744">
        <f>_xlfn.CEILING.MATH((G1375+20*$Z$1),0.1)</f>
        <v>78</v>
      </c>
      <c r="H1376" s="762">
        <f>_xlfn.CEILING.MATH((G1376+12*$Z$1),0.1)</f>
        <v>93.60000000000001</v>
      </c>
      <c r="I1376" s="636"/>
      <c r="J1376" s="637"/>
      <c r="K1376" s="590"/>
      <c r="L1376" s="590"/>
      <c r="M1376" s="244"/>
      <c r="W1376"/>
      <c r="X1376"/>
      <c r="Y1376"/>
    </row>
    <row r="1377" spans="1:25" ht="15">
      <c r="A1377" s="40"/>
      <c r="B1377" s="34" t="s">
        <v>78</v>
      </c>
      <c r="C1377" s="744">
        <f>CEILING((C1375*0.85),0.1)</f>
        <v>44.2</v>
      </c>
      <c r="D1377" s="762">
        <f>_xlfn.CEILING.MATH((C1377+12*$Z$1),0.1)</f>
        <v>59.800000000000004</v>
      </c>
      <c r="E1377" s="744">
        <f>CEILING((E1375*0.85),0.1)</f>
        <v>66.3</v>
      </c>
      <c r="F1377" s="762">
        <f>_xlfn.CEILING.MATH((E1377+12*$Z$1),0.1)</f>
        <v>81.9</v>
      </c>
      <c r="G1377" s="744">
        <f>CEILING((G1375*0.85),0.1)</f>
        <v>44.2</v>
      </c>
      <c r="H1377" s="762">
        <f>_xlfn.CEILING.MATH((G1377+12*$Z$1),0.1)</f>
        <v>59.800000000000004</v>
      </c>
      <c r="I1377" s="636"/>
      <c r="J1377" s="637"/>
      <c r="K1377" s="590"/>
      <c r="L1377" s="590"/>
      <c r="M1377" s="244"/>
      <c r="W1377"/>
      <c r="X1377"/>
      <c r="Y1377"/>
    </row>
    <row r="1378" spans="1:25" ht="15.75" thickBot="1">
      <c r="A1378" s="104" t="s">
        <v>893</v>
      </c>
      <c r="B1378" s="15" t="s">
        <v>160</v>
      </c>
      <c r="C1378" s="751">
        <f aca="true" t="shared" si="16" ref="C1378:H1378">CEILING((C1375*0.5),0.1)</f>
        <v>26</v>
      </c>
      <c r="D1378" s="751">
        <f t="shared" si="16"/>
        <v>33.800000000000004</v>
      </c>
      <c r="E1378" s="751">
        <f t="shared" si="16"/>
        <v>39</v>
      </c>
      <c r="F1378" s="751">
        <f t="shared" si="16"/>
        <v>46.800000000000004</v>
      </c>
      <c r="G1378" s="751">
        <f t="shared" si="16"/>
        <v>26</v>
      </c>
      <c r="H1378" s="751">
        <f t="shared" si="16"/>
        <v>33.800000000000004</v>
      </c>
      <c r="I1378" s="636"/>
      <c r="J1378" s="637"/>
      <c r="K1378" s="590"/>
      <c r="L1378" s="590"/>
      <c r="M1378" s="244"/>
      <c r="W1378"/>
      <c r="X1378"/>
      <c r="Y1378"/>
    </row>
    <row r="1379" spans="1:13" ht="15.75" thickTop="1">
      <c r="A1379" s="144" t="s">
        <v>786</v>
      </c>
      <c r="B1379" s="144"/>
      <c r="C1379" s="144"/>
      <c r="D1379" s="144"/>
      <c r="E1379" s="144"/>
      <c r="F1379" s="144"/>
      <c r="G1379" s="144"/>
      <c r="H1379" s="144"/>
      <c r="I1379" s="22"/>
      <c r="J1379" s="244"/>
      <c r="K1379" s="503"/>
      <c r="L1379" s="503"/>
      <c r="M1379" s="244"/>
    </row>
    <row r="1380" spans="1:14" ht="15.75" customHeight="1" thickBot="1">
      <c r="A1380" s="388"/>
      <c r="B1380" s="150"/>
      <c r="C1380" s="144"/>
      <c r="D1380" s="144"/>
      <c r="E1380" s="144"/>
      <c r="F1380" s="144"/>
      <c r="G1380" s="144"/>
      <c r="H1380" s="144"/>
      <c r="I1380" s="22"/>
      <c r="J1380" s="244"/>
      <c r="K1380" s="516"/>
      <c r="L1380" s="509"/>
      <c r="M1380" s="211"/>
      <c r="N1380" s="211"/>
    </row>
    <row r="1381" spans="1:14" ht="15.75" thickTop="1">
      <c r="A1381" s="949" t="s">
        <v>74</v>
      </c>
      <c r="B1381" s="191"/>
      <c r="C1381" s="863" t="s">
        <v>665</v>
      </c>
      <c r="D1381" s="953"/>
      <c r="E1381" s="863" t="s">
        <v>669</v>
      </c>
      <c r="F1381" s="953"/>
      <c r="G1381" s="863" t="s">
        <v>668</v>
      </c>
      <c r="H1381" s="864"/>
      <c r="I1381" s="262"/>
      <c r="J1381" s="17"/>
      <c r="K1381" s="486"/>
      <c r="L1381" s="516"/>
      <c r="M1381" s="211"/>
      <c r="N1381" s="211"/>
    </row>
    <row r="1382" spans="1:14" ht="15">
      <c r="A1382" s="950"/>
      <c r="B1382" s="192"/>
      <c r="C1382" s="124" t="s">
        <v>144</v>
      </c>
      <c r="D1382" s="197" t="s">
        <v>146</v>
      </c>
      <c r="E1382" s="124" t="s">
        <v>144</v>
      </c>
      <c r="F1382" s="198" t="s">
        <v>146</v>
      </c>
      <c r="G1382" s="124" t="s">
        <v>144</v>
      </c>
      <c r="H1382" s="125" t="s">
        <v>146</v>
      </c>
      <c r="I1382" s="16"/>
      <c r="J1382" s="3"/>
      <c r="K1382" s="509"/>
      <c r="L1382" s="486"/>
      <c r="M1382" s="211"/>
      <c r="N1382" s="211"/>
    </row>
    <row r="1383" spans="1:14" ht="15">
      <c r="A1383" s="39" t="s">
        <v>359</v>
      </c>
      <c r="B1383" s="101" t="s">
        <v>82</v>
      </c>
      <c r="C1383" s="744">
        <f>CEILING(39*$Z$1,0.1)</f>
        <v>50.7</v>
      </c>
      <c r="D1383" s="744">
        <f>_xlfn.CEILING.MATH((C1383+15*$Z$1),0.1)</f>
        <v>70.2</v>
      </c>
      <c r="E1383" s="744">
        <f>CEILING(43*$Z$1,0.1)</f>
        <v>55.900000000000006</v>
      </c>
      <c r="F1383" s="744">
        <f>_xlfn.CEILING.MATH((E1383+15*$Z$1),0.1)</f>
        <v>75.4</v>
      </c>
      <c r="G1383" s="744">
        <f>CEILING(39*$Z$1,0.1)</f>
        <v>50.7</v>
      </c>
      <c r="H1383" s="744">
        <f>_xlfn.CEILING.MATH((G1383+15*$Z$1),0.1)</f>
        <v>70.2</v>
      </c>
      <c r="I1383" s="4"/>
      <c r="J1383" s="3"/>
      <c r="K1383" s="509"/>
      <c r="L1383" s="509"/>
      <c r="M1383" s="211"/>
      <c r="N1383" s="211"/>
    </row>
    <row r="1384" spans="1:14" ht="17.25" customHeight="1">
      <c r="A1384" s="40" t="s">
        <v>130</v>
      </c>
      <c r="B1384" s="34" t="s">
        <v>83</v>
      </c>
      <c r="C1384" s="744">
        <f>_xlfn.CEILING.MATH((C1383+2*$Z$1),0.1)</f>
        <v>53.300000000000004</v>
      </c>
      <c r="D1384" s="762">
        <f>_xlfn.CEILING.MATH((C1384+15*$Z$1),0.1)</f>
        <v>72.8</v>
      </c>
      <c r="E1384" s="744">
        <f>_xlfn.CEILING.MATH((E1383+5*$Z$1),0.1)</f>
        <v>62.400000000000006</v>
      </c>
      <c r="F1384" s="762">
        <f>_xlfn.CEILING.MATH((E1384+15*$Z$1),0.1)</f>
        <v>81.9</v>
      </c>
      <c r="G1384" s="744">
        <f>_xlfn.CEILING.MATH((G1383+2*$Z$1),0.1)</f>
        <v>53.300000000000004</v>
      </c>
      <c r="H1384" s="762">
        <f>_xlfn.CEILING.MATH((G1384+15*$Z$1),0.1)</f>
        <v>72.8</v>
      </c>
      <c r="I1384" s="4"/>
      <c r="J1384" s="3"/>
      <c r="K1384" s="509"/>
      <c r="L1384" s="509"/>
      <c r="M1384" s="211"/>
      <c r="N1384" s="211"/>
    </row>
    <row r="1385" spans="1:14" ht="17.25" customHeight="1">
      <c r="A1385" s="111"/>
      <c r="B1385" s="34" t="s">
        <v>286</v>
      </c>
      <c r="C1385" s="4">
        <v>0</v>
      </c>
      <c r="D1385" s="5">
        <v>0</v>
      </c>
      <c r="E1385" s="4">
        <v>0</v>
      </c>
      <c r="F1385" s="5">
        <v>0</v>
      </c>
      <c r="G1385" s="4">
        <v>0</v>
      </c>
      <c r="H1385" s="5">
        <v>0</v>
      </c>
      <c r="I1385" s="4"/>
      <c r="J1385" s="3"/>
      <c r="K1385" s="509"/>
      <c r="L1385" s="509"/>
      <c r="M1385" s="211"/>
      <c r="N1385" s="211"/>
    </row>
    <row r="1386" spans="1:14" ht="15.75" customHeight="1" thickBot="1">
      <c r="A1386" s="95" t="s">
        <v>891</v>
      </c>
      <c r="B1386" s="152" t="s">
        <v>287</v>
      </c>
      <c r="C1386" s="751">
        <f aca="true" t="shared" si="17" ref="C1386:H1386">CEILING((C1383*0.7),0.1)</f>
        <v>35.5</v>
      </c>
      <c r="D1386" s="751">
        <f t="shared" si="17"/>
        <v>49.2</v>
      </c>
      <c r="E1386" s="751">
        <f t="shared" si="17"/>
        <v>39.2</v>
      </c>
      <c r="F1386" s="751">
        <f t="shared" si="17"/>
        <v>52.800000000000004</v>
      </c>
      <c r="G1386" s="751">
        <f t="shared" si="17"/>
        <v>35.5</v>
      </c>
      <c r="H1386" s="751">
        <f t="shared" si="17"/>
        <v>49.2</v>
      </c>
      <c r="I1386" s="4"/>
      <c r="J1386" s="144"/>
      <c r="K1386" s="509"/>
      <c r="L1386" s="509"/>
      <c r="M1386" s="211"/>
      <c r="N1386" s="211"/>
    </row>
    <row r="1387" spans="1:13" ht="16.5" customHeight="1" thickTop="1">
      <c r="A1387" s="215" t="s">
        <v>804</v>
      </c>
      <c r="B1387" s="144"/>
      <c r="C1387" s="144"/>
      <c r="D1387" s="144"/>
      <c r="E1387" s="144"/>
      <c r="F1387" s="144"/>
      <c r="G1387" s="144"/>
      <c r="H1387" s="144"/>
      <c r="I1387" s="144"/>
      <c r="J1387" s="297"/>
      <c r="K1387" s="128"/>
      <c r="L1387" s="503"/>
      <c r="M1387" s="244"/>
    </row>
    <row r="1388" spans="1:25" s="724" customFormat="1" ht="19.5" customHeight="1" thickBot="1">
      <c r="A1388" s="150"/>
      <c r="B1388" s="150"/>
      <c r="C1388" s="144"/>
      <c r="D1388" s="144"/>
      <c r="E1388" s="144"/>
      <c r="F1388" s="144"/>
      <c r="G1388" s="144"/>
      <c r="H1388" s="144"/>
      <c r="I1388" s="144"/>
      <c r="J1388" s="297"/>
      <c r="K1388" s="128"/>
      <c r="L1388" s="503"/>
      <c r="M1388" s="244"/>
      <c r="N1388" s="244"/>
      <c r="O1388" s="244"/>
      <c r="P1388" s="244"/>
      <c r="Q1388" s="244"/>
      <c r="R1388" s="244"/>
      <c r="S1388" s="244"/>
      <c r="T1388" s="244"/>
      <c r="U1388" s="244"/>
      <c r="V1388" s="244"/>
      <c r="W1388" s="244"/>
      <c r="X1388" s="244"/>
      <c r="Y1388" s="244"/>
    </row>
    <row r="1389" spans="1:25" s="724" customFormat="1" ht="16.5" customHeight="1" thickTop="1">
      <c r="A1389" s="949" t="s">
        <v>74</v>
      </c>
      <c r="B1389" s="191"/>
      <c r="C1389" s="863" t="s">
        <v>665</v>
      </c>
      <c r="D1389" s="953"/>
      <c r="E1389" s="863" t="s">
        <v>669</v>
      </c>
      <c r="F1389" s="953"/>
      <c r="G1389" s="863" t="s">
        <v>668</v>
      </c>
      <c r="H1389" s="864"/>
      <c r="I1389" s="215"/>
      <c r="J1389" s="297"/>
      <c r="K1389" s="128"/>
      <c r="L1389" s="503"/>
      <c r="M1389" s="244"/>
      <c r="N1389" s="244"/>
      <c r="O1389" s="244"/>
      <c r="P1389" s="244"/>
      <c r="Q1389" s="244"/>
      <c r="R1389" s="244"/>
      <c r="S1389" s="244"/>
      <c r="T1389" s="244"/>
      <c r="U1389" s="244"/>
      <c r="V1389" s="244"/>
      <c r="W1389" s="244"/>
      <c r="X1389" s="244"/>
      <c r="Y1389" s="244"/>
    </row>
    <row r="1390" spans="1:25" s="724" customFormat="1" ht="15" customHeight="1">
      <c r="A1390" s="950"/>
      <c r="B1390" s="192"/>
      <c r="C1390" s="124" t="s">
        <v>144</v>
      </c>
      <c r="D1390" s="197" t="s">
        <v>146</v>
      </c>
      <c r="E1390" s="124" t="s">
        <v>144</v>
      </c>
      <c r="F1390" s="198" t="s">
        <v>146</v>
      </c>
      <c r="G1390" s="124" t="s">
        <v>144</v>
      </c>
      <c r="H1390" s="125" t="s">
        <v>146</v>
      </c>
      <c r="I1390" s="215"/>
      <c r="J1390" s="297"/>
      <c r="K1390" s="128"/>
      <c r="L1390" s="503"/>
      <c r="M1390" s="244"/>
      <c r="N1390" s="244"/>
      <c r="O1390" s="244"/>
      <c r="P1390" s="244"/>
      <c r="Q1390" s="244"/>
      <c r="R1390" s="244"/>
      <c r="S1390" s="244"/>
      <c r="T1390" s="244"/>
      <c r="U1390" s="244"/>
      <c r="V1390" s="244"/>
      <c r="W1390" s="244"/>
      <c r="X1390" s="244"/>
      <c r="Y1390" s="244"/>
    </row>
    <row r="1391" spans="1:25" s="724" customFormat="1" ht="18" customHeight="1">
      <c r="A1391" s="787" t="s">
        <v>799</v>
      </c>
      <c r="B1391" s="101" t="s">
        <v>82</v>
      </c>
      <c r="C1391" s="744">
        <f>CEILING(25*$Z$1,0.1)</f>
        <v>32.5</v>
      </c>
      <c r="D1391" s="744">
        <f>_xlfn.CEILING.MATH((C1391+10*$Z$1),0.1)</f>
        <v>45.5</v>
      </c>
      <c r="E1391" s="744">
        <f>CEILING(27*$Z$1,0.1)</f>
        <v>35.1</v>
      </c>
      <c r="F1391" s="744">
        <f>_xlfn.CEILING.MATH((E1391+10*$Z$1),0.1)</f>
        <v>48.1</v>
      </c>
      <c r="G1391" s="744">
        <f>CEILING(25*$Z$1,0.1)</f>
        <v>32.5</v>
      </c>
      <c r="H1391" s="744">
        <f>_xlfn.CEILING.MATH((G1391+10*$Z$1),0.1)</f>
        <v>45.5</v>
      </c>
      <c r="I1391" s="215"/>
      <c r="J1391" s="297"/>
      <c r="K1391" s="128"/>
      <c r="L1391" s="503"/>
      <c r="M1391" s="244"/>
      <c r="N1391" s="244"/>
      <c r="O1391" s="244"/>
      <c r="P1391" s="244"/>
      <c r="Q1391" s="244"/>
      <c r="R1391" s="244"/>
      <c r="S1391" s="244"/>
      <c r="T1391" s="244"/>
      <c r="U1391" s="244"/>
      <c r="V1391" s="244"/>
      <c r="W1391" s="244"/>
      <c r="X1391" s="244"/>
      <c r="Y1391" s="244"/>
    </row>
    <row r="1392" spans="1:25" s="724" customFormat="1" ht="16.5" customHeight="1">
      <c r="A1392" s="40" t="s">
        <v>130</v>
      </c>
      <c r="B1392" s="34" t="s">
        <v>83</v>
      </c>
      <c r="C1392" s="744">
        <f>_xlfn.CEILING.MATH((C1391+5*$Z$1),0.1)</f>
        <v>39</v>
      </c>
      <c r="D1392" s="762">
        <f>_xlfn.CEILING.MATH((C1392+10*$Z$1),0.1)</f>
        <v>52</v>
      </c>
      <c r="E1392" s="744">
        <f>_xlfn.CEILING.MATH((E1391+6*$Z$1),0.1)</f>
        <v>42.900000000000006</v>
      </c>
      <c r="F1392" s="762">
        <f>_xlfn.CEILING.MATH((E1392+10*$Z$1),0.1)</f>
        <v>55.900000000000006</v>
      </c>
      <c r="G1392" s="744">
        <f>_xlfn.CEILING.MATH((G1391+5*$Z$1),0.1)</f>
        <v>39</v>
      </c>
      <c r="H1392" s="762">
        <f>_xlfn.CEILING.MATH((G1392+10*$Z$1),0.1)</f>
        <v>52</v>
      </c>
      <c r="I1392" s="144"/>
      <c r="J1392" s="297"/>
      <c r="K1392" s="128"/>
      <c r="L1392" s="503"/>
      <c r="M1392" s="244"/>
      <c r="N1392" s="244"/>
      <c r="O1392" s="244"/>
      <c r="P1392" s="244"/>
      <c r="Q1392" s="244"/>
      <c r="R1392" s="244"/>
      <c r="S1392" s="244"/>
      <c r="T1392" s="244"/>
      <c r="U1392" s="244"/>
      <c r="V1392" s="244"/>
      <c r="W1392" s="244"/>
      <c r="X1392" s="244"/>
      <c r="Y1392" s="244"/>
    </row>
    <row r="1393" spans="1:25" s="724" customFormat="1" ht="17.25" customHeight="1">
      <c r="A1393" s="111"/>
      <c r="B1393" s="34" t="s">
        <v>286</v>
      </c>
      <c r="C1393" s="4">
        <v>0</v>
      </c>
      <c r="D1393" s="5">
        <v>0</v>
      </c>
      <c r="E1393" s="4">
        <v>0</v>
      </c>
      <c r="F1393" s="5">
        <v>0</v>
      </c>
      <c r="G1393" s="4">
        <v>0</v>
      </c>
      <c r="H1393" s="5">
        <v>0</v>
      </c>
      <c r="I1393" s="144"/>
      <c r="J1393" s="297"/>
      <c r="K1393" s="128"/>
      <c r="L1393" s="503"/>
      <c r="M1393" s="244"/>
      <c r="N1393" s="244"/>
      <c r="O1393" s="244"/>
      <c r="P1393" s="244"/>
      <c r="Q1393" s="244"/>
      <c r="R1393" s="244"/>
      <c r="S1393" s="244"/>
      <c r="T1393" s="244"/>
      <c r="U1393" s="244"/>
      <c r="V1393" s="244"/>
      <c r="W1393" s="244"/>
      <c r="X1393" s="244"/>
      <c r="Y1393" s="244"/>
    </row>
    <row r="1394" spans="1:25" s="724" customFormat="1" ht="18.75" customHeight="1" thickBot="1">
      <c r="A1394" s="95" t="s">
        <v>892</v>
      </c>
      <c r="B1394" s="152" t="s">
        <v>287</v>
      </c>
      <c r="C1394" s="751">
        <f aca="true" t="shared" si="18" ref="C1394:H1394">CEILING((C1391*0.7),0.1)</f>
        <v>22.8</v>
      </c>
      <c r="D1394" s="751">
        <f t="shared" si="18"/>
        <v>31.900000000000002</v>
      </c>
      <c r="E1394" s="751">
        <f t="shared" si="18"/>
        <v>24.6</v>
      </c>
      <c r="F1394" s="751">
        <f t="shared" si="18"/>
        <v>33.7</v>
      </c>
      <c r="G1394" s="751">
        <f t="shared" si="18"/>
        <v>22.8</v>
      </c>
      <c r="H1394" s="751">
        <f t="shared" si="18"/>
        <v>31.900000000000002</v>
      </c>
      <c r="I1394" s="215"/>
      <c r="J1394" s="297"/>
      <c r="K1394" s="128"/>
      <c r="L1394" s="503"/>
      <c r="M1394" s="244"/>
      <c r="N1394" s="244"/>
      <c r="O1394" s="244"/>
      <c r="P1394" s="244"/>
      <c r="Q1394" s="244"/>
      <c r="R1394" s="244"/>
      <c r="S1394" s="244"/>
      <c r="T1394" s="244"/>
      <c r="U1394" s="244"/>
      <c r="V1394" s="244"/>
      <c r="W1394" s="244"/>
      <c r="X1394" s="244"/>
      <c r="Y1394" s="244"/>
    </row>
    <row r="1395" spans="1:25" s="724" customFormat="1" ht="16.5" customHeight="1" thickTop="1">
      <c r="A1395" s="215" t="s">
        <v>804</v>
      </c>
      <c r="B1395" s="144"/>
      <c r="C1395" s="144"/>
      <c r="D1395" s="144"/>
      <c r="E1395" s="144"/>
      <c r="F1395" s="144"/>
      <c r="G1395" s="144"/>
      <c r="H1395" s="144"/>
      <c r="I1395" s="144"/>
      <c r="J1395" s="297"/>
      <c r="K1395" s="128"/>
      <c r="L1395" s="503"/>
      <c r="M1395" s="244"/>
      <c r="N1395" s="244"/>
      <c r="O1395" s="244"/>
      <c r="P1395" s="244"/>
      <c r="Q1395" s="244"/>
      <c r="R1395" s="244"/>
      <c r="S1395" s="244"/>
      <c r="T1395" s="244"/>
      <c r="U1395" s="244"/>
      <c r="V1395" s="244"/>
      <c r="W1395" s="244"/>
      <c r="X1395" s="244"/>
      <c r="Y1395" s="244"/>
    </row>
    <row r="1396" spans="1:25" s="724" customFormat="1" ht="19.5" customHeight="1" thickBot="1">
      <c r="A1396" s="150"/>
      <c r="B1396" s="150"/>
      <c r="C1396" s="144"/>
      <c r="D1396" s="144"/>
      <c r="E1396" s="144"/>
      <c r="F1396" s="144"/>
      <c r="G1396" s="144"/>
      <c r="H1396" s="144"/>
      <c r="I1396" s="144"/>
      <c r="J1396" s="297"/>
      <c r="K1396" s="128"/>
      <c r="L1396" s="503"/>
      <c r="M1396" s="244"/>
      <c r="N1396" s="244"/>
      <c r="O1396" s="244"/>
      <c r="P1396" s="244"/>
      <c r="Q1396" s="244"/>
      <c r="R1396" s="244"/>
      <c r="S1396" s="244"/>
      <c r="T1396" s="244"/>
      <c r="U1396" s="244"/>
      <c r="V1396" s="244"/>
      <c r="W1396" s="244"/>
      <c r="X1396" s="244"/>
      <c r="Y1396" s="244"/>
    </row>
    <row r="1397" spans="1:25" s="724" customFormat="1" ht="15" customHeight="1" thickTop="1">
      <c r="A1397" s="949" t="s">
        <v>74</v>
      </c>
      <c r="B1397" s="191"/>
      <c r="C1397" s="863" t="s">
        <v>665</v>
      </c>
      <c r="D1397" s="953"/>
      <c r="E1397" s="863" t="s">
        <v>669</v>
      </c>
      <c r="F1397" s="953"/>
      <c r="G1397" s="863" t="s">
        <v>668</v>
      </c>
      <c r="H1397" s="864"/>
      <c r="I1397" s="215"/>
      <c r="J1397" s="297"/>
      <c r="K1397" s="128"/>
      <c r="L1397" s="503"/>
      <c r="M1397" s="244"/>
      <c r="N1397" s="244"/>
      <c r="O1397" s="244"/>
      <c r="P1397" s="244"/>
      <c r="Q1397" s="244"/>
      <c r="R1397" s="244"/>
      <c r="S1397" s="244"/>
      <c r="T1397" s="244"/>
      <c r="U1397" s="244"/>
      <c r="V1397" s="244"/>
      <c r="W1397" s="244"/>
      <c r="X1397" s="244"/>
      <c r="Y1397" s="244"/>
    </row>
    <row r="1398" spans="1:25" s="724" customFormat="1" ht="15" customHeight="1">
      <c r="A1398" s="950"/>
      <c r="B1398" s="192"/>
      <c r="C1398" s="124" t="s">
        <v>144</v>
      </c>
      <c r="D1398" s="197" t="s">
        <v>146</v>
      </c>
      <c r="E1398" s="124" t="s">
        <v>144</v>
      </c>
      <c r="F1398" s="198" t="s">
        <v>146</v>
      </c>
      <c r="G1398" s="124" t="s">
        <v>144</v>
      </c>
      <c r="H1398" s="125" t="s">
        <v>146</v>
      </c>
      <c r="I1398" s="215"/>
      <c r="J1398" s="297"/>
      <c r="K1398" s="128"/>
      <c r="L1398" s="503"/>
      <c r="M1398" s="244"/>
      <c r="N1398" s="244"/>
      <c r="O1398" s="244"/>
      <c r="P1398" s="244"/>
      <c r="Q1398" s="244"/>
      <c r="R1398" s="244"/>
      <c r="S1398" s="244"/>
      <c r="T1398" s="244"/>
      <c r="U1398" s="244"/>
      <c r="V1398" s="244"/>
      <c r="W1398" s="244"/>
      <c r="X1398" s="244"/>
      <c r="Y1398" s="244"/>
    </row>
    <row r="1399" spans="1:25" s="724" customFormat="1" ht="17.25" customHeight="1">
      <c r="A1399" s="787" t="s">
        <v>800</v>
      </c>
      <c r="B1399" s="101" t="s">
        <v>82</v>
      </c>
      <c r="C1399" s="744">
        <f>CEILING(23*$Z$1,0.1)</f>
        <v>29.900000000000002</v>
      </c>
      <c r="D1399" s="744">
        <f>_xlfn.CEILING.MATH((C1399+10*$Z$1),0.1)</f>
        <v>42.900000000000006</v>
      </c>
      <c r="E1399" s="744">
        <f>CEILING(26*$Z$1,0.1)</f>
        <v>33.800000000000004</v>
      </c>
      <c r="F1399" s="744">
        <f>_xlfn.CEILING.MATH((E1399+10*$Z$1),0.1)</f>
        <v>46.800000000000004</v>
      </c>
      <c r="G1399" s="744">
        <f>CEILING(23*$Z$1,0.1)</f>
        <v>29.900000000000002</v>
      </c>
      <c r="H1399" s="744">
        <f>_xlfn.CEILING.MATH((G1399+10*$Z$1),0.1)</f>
        <v>42.900000000000006</v>
      </c>
      <c r="I1399" s="215"/>
      <c r="J1399" s="297"/>
      <c r="K1399" s="128"/>
      <c r="L1399" s="503"/>
      <c r="M1399" s="244"/>
      <c r="N1399" s="244"/>
      <c r="O1399" s="244"/>
      <c r="P1399" s="244"/>
      <c r="Q1399" s="244"/>
      <c r="R1399" s="244"/>
      <c r="S1399" s="244"/>
      <c r="T1399" s="244"/>
      <c r="U1399" s="244"/>
      <c r="V1399" s="244"/>
      <c r="W1399" s="244"/>
      <c r="X1399" s="244"/>
      <c r="Y1399" s="244"/>
    </row>
    <row r="1400" spans="1:25" s="724" customFormat="1" ht="17.25" customHeight="1">
      <c r="A1400" s="40" t="s">
        <v>130</v>
      </c>
      <c r="B1400" s="34" t="s">
        <v>83</v>
      </c>
      <c r="C1400" s="744">
        <f>_xlfn.CEILING.MATH((C1399+6*$Z$1),0.1)</f>
        <v>37.7</v>
      </c>
      <c r="D1400" s="762">
        <f>_xlfn.CEILING.MATH((C1400+10*$Z$1),0.1)</f>
        <v>50.7</v>
      </c>
      <c r="E1400" s="744">
        <f>_xlfn.CEILING.MATH((E1399+6*$Z$1),0.1)</f>
        <v>41.6</v>
      </c>
      <c r="F1400" s="762">
        <f>_xlfn.CEILING.MATH((E1400+10*$Z$1),0.1)</f>
        <v>54.6</v>
      </c>
      <c r="G1400" s="744">
        <f>_xlfn.CEILING.MATH((G1399+6*$Z$1),0.1)</f>
        <v>37.7</v>
      </c>
      <c r="H1400" s="762">
        <f>_xlfn.CEILING.MATH((G1400+10*$Z$1),0.1)</f>
        <v>50.7</v>
      </c>
      <c r="I1400" s="144"/>
      <c r="J1400" s="297"/>
      <c r="K1400" s="128"/>
      <c r="L1400" s="503"/>
      <c r="M1400" s="244"/>
      <c r="N1400" s="244"/>
      <c r="O1400" s="244"/>
      <c r="P1400" s="244"/>
      <c r="Q1400" s="244"/>
      <c r="R1400" s="244"/>
      <c r="S1400" s="244"/>
      <c r="T1400" s="244"/>
      <c r="U1400" s="244"/>
      <c r="V1400" s="244"/>
      <c r="W1400" s="244"/>
      <c r="X1400" s="244"/>
      <c r="Y1400" s="244"/>
    </row>
    <row r="1401" spans="1:25" s="724" customFormat="1" ht="16.5" customHeight="1">
      <c r="A1401" s="111"/>
      <c r="B1401" s="34" t="s">
        <v>286</v>
      </c>
      <c r="C1401" s="4">
        <v>0</v>
      </c>
      <c r="D1401" s="5">
        <v>0</v>
      </c>
      <c r="E1401" s="4">
        <v>0</v>
      </c>
      <c r="F1401" s="5">
        <v>0</v>
      </c>
      <c r="G1401" s="4">
        <v>0</v>
      </c>
      <c r="H1401" s="5">
        <v>0</v>
      </c>
      <c r="I1401" s="144"/>
      <c r="J1401" s="297"/>
      <c r="K1401" s="128"/>
      <c r="L1401" s="503"/>
      <c r="M1401" s="244"/>
      <c r="N1401" s="244"/>
      <c r="O1401" s="244"/>
      <c r="P1401" s="244"/>
      <c r="Q1401" s="244"/>
      <c r="R1401" s="244"/>
      <c r="S1401" s="244"/>
      <c r="T1401" s="244"/>
      <c r="U1401" s="244"/>
      <c r="V1401" s="244"/>
      <c r="W1401" s="244"/>
      <c r="X1401" s="244"/>
      <c r="Y1401" s="244"/>
    </row>
    <row r="1402" spans="1:25" s="724" customFormat="1" ht="19.5" customHeight="1" thickBot="1">
      <c r="A1402" s="95" t="s">
        <v>891</v>
      </c>
      <c r="B1402" s="152" t="s">
        <v>287</v>
      </c>
      <c r="C1402" s="751">
        <f aca="true" t="shared" si="19" ref="C1402:H1402">CEILING((C1399*0.7),0.1)</f>
        <v>21</v>
      </c>
      <c r="D1402" s="751">
        <f t="shared" si="19"/>
        <v>30.1</v>
      </c>
      <c r="E1402" s="751">
        <f t="shared" si="19"/>
        <v>23.700000000000003</v>
      </c>
      <c r="F1402" s="751">
        <f t="shared" si="19"/>
        <v>32.800000000000004</v>
      </c>
      <c r="G1402" s="751">
        <f t="shared" si="19"/>
        <v>21</v>
      </c>
      <c r="H1402" s="751">
        <f t="shared" si="19"/>
        <v>30.1</v>
      </c>
      <c r="I1402" s="215"/>
      <c r="J1402" s="297"/>
      <c r="K1402" s="128"/>
      <c r="L1402" s="503"/>
      <c r="M1402" s="244"/>
      <c r="N1402" s="244"/>
      <c r="O1402" s="244"/>
      <c r="P1402" s="244"/>
      <c r="Q1402" s="244"/>
      <c r="R1402" s="244"/>
      <c r="S1402" s="244"/>
      <c r="T1402" s="244"/>
      <c r="U1402" s="244"/>
      <c r="V1402" s="244"/>
      <c r="W1402" s="244"/>
      <c r="X1402" s="244"/>
      <c r="Y1402" s="244"/>
    </row>
    <row r="1403" spans="1:25" s="724" customFormat="1" ht="16.5" customHeight="1" thickTop="1">
      <c r="A1403" s="215" t="s">
        <v>804</v>
      </c>
      <c r="B1403" s="144"/>
      <c r="C1403" s="144"/>
      <c r="D1403" s="144"/>
      <c r="E1403" s="144"/>
      <c r="F1403" s="144"/>
      <c r="G1403" s="144"/>
      <c r="H1403" s="144"/>
      <c r="I1403" s="144"/>
      <c r="J1403" s="297"/>
      <c r="K1403" s="128"/>
      <c r="L1403" s="503"/>
      <c r="M1403" s="244"/>
      <c r="N1403" s="244"/>
      <c r="O1403" s="244"/>
      <c r="P1403" s="244"/>
      <c r="Q1403" s="244"/>
      <c r="R1403" s="244"/>
      <c r="S1403" s="244"/>
      <c r="T1403" s="244"/>
      <c r="U1403" s="244"/>
      <c r="V1403" s="244"/>
      <c r="W1403" s="244"/>
      <c r="X1403" s="244"/>
      <c r="Y1403" s="244"/>
    </row>
    <row r="1404" spans="1:25" s="724" customFormat="1" ht="19.5" customHeight="1" thickBot="1">
      <c r="A1404" s="150"/>
      <c r="B1404" s="150"/>
      <c r="C1404" s="144"/>
      <c r="D1404" s="144"/>
      <c r="E1404" s="144"/>
      <c r="F1404" s="144"/>
      <c r="G1404" s="144"/>
      <c r="H1404" s="144"/>
      <c r="I1404" s="144"/>
      <c r="J1404" s="297"/>
      <c r="K1404" s="128"/>
      <c r="L1404" s="503"/>
      <c r="M1404" s="244"/>
      <c r="N1404" s="244"/>
      <c r="O1404" s="244"/>
      <c r="P1404" s="244"/>
      <c r="Q1404" s="244"/>
      <c r="R1404" s="244"/>
      <c r="S1404" s="244"/>
      <c r="T1404" s="244"/>
      <c r="U1404" s="244"/>
      <c r="V1404" s="244"/>
      <c r="W1404" s="244"/>
      <c r="X1404" s="244"/>
      <c r="Y1404" s="244"/>
    </row>
    <row r="1405" spans="1:25" s="724" customFormat="1" ht="16.5" customHeight="1" thickTop="1">
      <c r="A1405" s="949" t="s">
        <v>74</v>
      </c>
      <c r="B1405" s="191"/>
      <c r="C1405" s="863" t="s">
        <v>665</v>
      </c>
      <c r="D1405" s="953"/>
      <c r="E1405" s="863" t="s">
        <v>669</v>
      </c>
      <c r="F1405" s="953"/>
      <c r="G1405" s="863" t="s">
        <v>668</v>
      </c>
      <c r="H1405" s="864"/>
      <c r="I1405" s="215"/>
      <c r="J1405" s="297"/>
      <c r="K1405" s="128"/>
      <c r="L1405" s="503"/>
      <c r="M1405" s="244"/>
      <c r="N1405" s="244"/>
      <c r="O1405" s="244"/>
      <c r="P1405" s="244"/>
      <c r="Q1405" s="244"/>
      <c r="R1405" s="244"/>
      <c r="S1405" s="244"/>
      <c r="T1405" s="244"/>
      <c r="U1405" s="244"/>
      <c r="V1405" s="244"/>
      <c r="W1405" s="244"/>
      <c r="X1405" s="244"/>
      <c r="Y1405" s="244"/>
    </row>
    <row r="1406" spans="1:25" s="724" customFormat="1" ht="15" customHeight="1">
      <c r="A1406" s="950"/>
      <c r="B1406" s="192"/>
      <c r="C1406" s="124" t="s">
        <v>144</v>
      </c>
      <c r="D1406" s="197" t="s">
        <v>146</v>
      </c>
      <c r="E1406" s="124" t="s">
        <v>144</v>
      </c>
      <c r="F1406" s="198" t="s">
        <v>146</v>
      </c>
      <c r="G1406" s="124" t="s">
        <v>144</v>
      </c>
      <c r="H1406" s="125" t="s">
        <v>146</v>
      </c>
      <c r="I1406" s="215"/>
      <c r="J1406" s="297"/>
      <c r="K1406" s="128"/>
      <c r="L1406" s="503"/>
      <c r="M1406" s="244"/>
      <c r="N1406" s="244"/>
      <c r="O1406" s="244"/>
      <c r="P1406" s="244"/>
      <c r="Q1406" s="244"/>
      <c r="R1406" s="244"/>
      <c r="S1406" s="244"/>
      <c r="T1406" s="244"/>
      <c r="U1406" s="244"/>
      <c r="V1406" s="244"/>
      <c r="W1406" s="244"/>
      <c r="X1406" s="244"/>
      <c r="Y1406" s="244"/>
    </row>
    <row r="1407" spans="1:25" s="724" customFormat="1" ht="15" customHeight="1">
      <c r="A1407" s="39" t="s">
        <v>801</v>
      </c>
      <c r="B1407" s="101" t="s">
        <v>82</v>
      </c>
      <c r="C1407" s="744">
        <f>CEILING(26*$Z$1,0.1)</f>
        <v>33.800000000000004</v>
      </c>
      <c r="D1407" s="744">
        <f>_xlfn.CEILING.MATH((C1407+15*$Z$1),0.1)</f>
        <v>53.300000000000004</v>
      </c>
      <c r="E1407" s="744">
        <f>CEILING(29*$Z$1,0.1)</f>
        <v>37.7</v>
      </c>
      <c r="F1407" s="744">
        <f>_xlfn.CEILING.MATH((E1407+15*$Z$1),0.1)</f>
        <v>57.2</v>
      </c>
      <c r="G1407" s="744">
        <f>CEILING(26*$Z$1,0.1)</f>
        <v>33.800000000000004</v>
      </c>
      <c r="H1407" s="744">
        <f>_xlfn.CEILING.MATH((G1407+15*$Z$1),0.1)</f>
        <v>53.300000000000004</v>
      </c>
      <c r="I1407" s="215"/>
      <c r="J1407" s="297"/>
      <c r="K1407" s="128"/>
      <c r="L1407" s="503"/>
      <c r="M1407" s="244"/>
      <c r="N1407" s="244"/>
      <c r="O1407" s="244"/>
      <c r="P1407" s="244"/>
      <c r="Q1407" s="244"/>
      <c r="R1407" s="244"/>
      <c r="S1407" s="244"/>
      <c r="T1407" s="244"/>
      <c r="U1407" s="244"/>
      <c r="V1407" s="244"/>
      <c r="W1407" s="244"/>
      <c r="X1407" s="244"/>
      <c r="Y1407" s="244"/>
    </row>
    <row r="1408" spans="1:25" s="724" customFormat="1" ht="14.25" customHeight="1">
      <c r="A1408" s="40" t="s">
        <v>250</v>
      </c>
      <c r="B1408" s="34" t="s">
        <v>83</v>
      </c>
      <c r="C1408" s="744">
        <f>_xlfn.CEILING.MATH((C1407+5*$Z$1),0.1)</f>
        <v>40.300000000000004</v>
      </c>
      <c r="D1408" s="762">
        <f>_xlfn.CEILING.MATH((C1408+15*$Z$1),0.1)</f>
        <v>59.800000000000004</v>
      </c>
      <c r="E1408" s="744">
        <f>_xlfn.CEILING.MATH((E1407+8*$Z$1),0.1)</f>
        <v>48.1</v>
      </c>
      <c r="F1408" s="762">
        <f>_xlfn.CEILING.MATH((E1408+15*$Z$1),0.1)</f>
        <v>67.60000000000001</v>
      </c>
      <c r="G1408" s="744">
        <f>_xlfn.CEILING.MATH((G1407+5*$Z$1),0.1)</f>
        <v>40.300000000000004</v>
      </c>
      <c r="H1408" s="762">
        <f>_xlfn.CEILING.MATH((G1408+15*$Z$1),0.1)</f>
        <v>59.800000000000004</v>
      </c>
      <c r="I1408" s="215"/>
      <c r="J1408" s="297"/>
      <c r="K1408" s="128"/>
      <c r="L1408" s="503"/>
      <c r="M1408" s="244"/>
      <c r="N1408" s="244"/>
      <c r="O1408" s="244"/>
      <c r="P1408" s="244"/>
      <c r="Q1408" s="244"/>
      <c r="R1408" s="244"/>
      <c r="S1408" s="244"/>
      <c r="T1408" s="244"/>
      <c r="U1408" s="244"/>
      <c r="V1408" s="244"/>
      <c r="W1408" s="244"/>
      <c r="X1408" s="244"/>
      <c r="Y1408" s="244"/>
    </row>
    <row r="1409" spans="1:25" s="724" customFormat="1" ht="15" customHeight="1">
      <c r="A1409" s="111"/>
      <c r="B1409" s="34" t="s">
        <v>286</v>
      </c>
      <c r="C1409" s="4">
        <v>0</v>
      </c>
      <c r="D1409" s="5">
        <v>0</v>
      </c>
      <c r="E1409" s="4">
        <v>0</v>
      </c>
      <c r="F1409" s="5">
        <v>0</v>
      </c>
      <c r="G1409" s="4">
        <v>0</v>
      </c>
      <c r="H1409" s="5">
        <v>0</v>
      </c>
      <c r="I1409" s="144"/>
      <c r="J1409" s="297"/>
      <c r="K1409" s="128"/>
      <c r="L1409" s="503"/>
      <c r="M1409" s="244"/>
      <c r="N1409" s="244"/>
      <c r="O1409" s="244"/>
      <c r="P1409" s="244"/>
      <c r="Q1409" s="244"/>
      <c r="R1409" s="244"/>
      <c r="S1409" s="244"/>
      <c r="T1409" s="244"/>
      <c r="U1409" s="244"/>
      <c r="V1409" s="244"/>
      <c r="W1409" s="244"/>
      <c r="X1409" s="244"/>
      <c r="Y1409" s="244"/>
    </row>
    <row r="1410" spans="1:25" s="724" customFormat="1" ht="14.25" customHeight="1" thickBot="1">
      <c r="A1410" s="95" t="s">
        <v>891</v>
      </c>
      <c r="B1410" s="152" t="s">
        <v>287</v>
      </c>
      <c r="C1410" s="751">
        <f aca="true" t="shared" si="20" ref="C1410:H1410">CEILING((C1407*0.7),0.1)</f>
        <v>23.700000000000003</v>
      </c>
      <c r="D1410" s="751">
        <f t="shared" si="20"/>
        <v>37.4</v>
      </c>
      <c r="E1410" s="751">
        <f t="shared" si="20"/>
        <v>26.400000000000002</v>
      </c>
      <c r="F1410" s="751">
        <f t="shared" si="20"/>
        <v>40.1</v>
      </c>
      <c r="G1410" s="751">
        <f t="shared" si="20"/>
        <v>23.700000000000003</v>
      </c>
      <c r="H1410" s="751">
        <f t="shared" si="20"/>
        <v>37.4</v>
      </c>
      <c r="I1410" s="215"/>
      <c r="J1410" s="297"/>
      <c r="K1410" s="128"/>
      <c r="L1410" s="503"/>
      <c r="M1410" s="244"/>
      <c r="N1410" s="244"/>
      <c r="O1410" s="244"/>
      <c r="P1410" s="244"/>
      <c r="Q1410" s="244"/>
      <c r="R1410" s="244"/>
      <c r="S1410" s="244"/>
      <c r="T1410" s="244"/>
      <c r="U1410" s="244"/>
      <c r="V1410" s="244"/>
      <c r="W1410" s="244"/>
      <c r="X1410" s="244"/>
      <c r="Y1410" s="244"/>
    </row>
    <row r="1411" spans="1:25" s="724" customFormat="1" ht="17.25" customHeight="1" thickTop="1">
      <c r="A1411" s="215" t="s">
        <v>527</v>
      </c>
      <c r="B1411" s="144"/>
      <c r="C1411" s="144"/>
      <c r="D1411" s="144"/>
      <c r="E1411" s="144"/>
      <c r="F1411" s="144"/>
      <c r="G1411" s="144"/>
      <c r="H1411" s="144"/>
      <c r="I1411" s="144"/>
      <c r="J1411" s="297"/>
      <c r="K1411" s="128"/>
      <c r="L1411" s="503"/>
      <c r="M1411" s="244"/>
      <c r="N1411" s="244"/>
      <c r="O1411" s="244"/>
      <c r="P1411" s="244"/>
      <c r="Q1411" s="244"/>
      <c r="R1411" s="244"/>
      <c r="S1411" s="244"/>
      <c r="T1411" s="244"/>
      <c r="U1411" s="244"/>
      <c r="V1411" s="244"/>
      <c r="W1411" s="244"/>
      <c r="X1411" s="244"/>
      <c r="Y1411" s="244"/>
    </row>
    <row r="1412" spans="1:25" s="724" customFormat="1" ht="19.5" customHeight="1" thickBot="1">
      <c r="A1412" s="150"/>
      <c r="B1412" s="150"/>
      <c r="C1412" s="144"/>
      <c r="D1412" s="144"/>
      <c r="E1412" s="144"/>
      <c r="F1412" s="144"/>
      <c r="G1412" s="144"/>
      <c r="H1412" s="144"/>
      <c r="I1412" s="144"/>
      <c r="J1412" s="297"/>
      <c r="K1412" s="128"/>
      <c r="L1412" s="503"/>
      <c r="M1412" s="244"/>
      <c r="N1412" s="244"/>
      <c r="O1412" s="244"/>
      <c r="P1412" s="244"/>
      <c r="Q1412" s="244"/>
      <c r="R1412" s="244"/>
      <c r="S1412" s="244"/>
      <c r="T1412" s="244"/>
      <c r="U1412" s="244"/>
      <c r="V1412" s="244"/>
      <c r="W1412" s="244"/>
      <c r="X1412" s="244"/>
      <c r="Y1412" s="244"/>
    </row>
    <row r="1413" spans="1:25" s="724" customFormat="1" ht="17.25" customHeight="1" thickTop="1">
      <c r="A1413" s="949" t="s">
        <v>74</v>
      </c>
      <c r="B1413" s="191"/>
      <c r="C1413" s="863" t="s">
        <v>665</v>
      </c>
      <c r="D1413" s="953"/>
      <c r="E1413" s="863" t="s">
        <v>669</v>
      </c>
      <c r="F1413" s="953"/>
      <c r="G1413" s="863" t="s">
        <v>668</v>
      </c>
      <c r="H1413" s="864"/>
      <c r="I1413" s="215"/>
      <c r="J1413" s="297"/>
      <c r="K1413" s="128"/>
      <c r="L1413" s="503"/>
      <c r="M1413" s="244"/>
      <c r="N1413" s="244"/>
      <c r="O1413" s="244"/>
      <c r="P1413" s="244"/>
      <c r="Q1413" s="244"/>
      <c r="R1413" s="244"/>
      <c r="S1413" s="244"/>
      <c r="T1413" s="244"/>
      <c r="U1413" s="244"/>
      <c r="V1413" s="244"/>
      <c r="W1413" s="244"/>
      <c r="X1413" s="244"/>
      <c r="Y1413" s="244"/>
    </row>
    <row r="1414" spans="1:25" s="724" customFormat="1" ht="15" customHeight="1">
      <c r="A1414" s="950"/>
      <c r="B1414" s="192"/>
      <c r="C1414" s="124" t="s">
        <v>144</v>
      </c>
      <c r="D1414" s="197" t="s">
        <v>146</v>
      </c>
      <c r="E1414" s="124" t="s">
        <v>144</v>
      </c>
      <c r="F1414" s="198" t="s">
        <v>146</v>
      </c>
      <c r="G1414" s="124" t="s">
        <v>144</v>
      </c>
      <c r="H1414" s="125" t="s">
        <v>146</v>
      </c>
      <c r="I1414" s="215"/>
      <c r="J1414" s="297"/>
      <c r="K1414" s="128"/>
      <c r="L1414" s="503"/>
      <c r="M1414" s="244"/>
      <c r="N1414" s="244"/>
      <c r="O1414" s="244"/>
      <c r="P1414" s="244"/>
      <c r="Q1414" s="244"/>
      <c r="R1414" s="244"/>
      <c r="S1414" s="244"/>
      <c r="T1414" s="244"/>
      <c r="U1414" s="244"/>
      <c r="V1414" s="244"/>
      <c r="W1414" s="244"/>
      <c r="X1414" s="244"/>
      <c r="Y1414" s="244"/>
    </row>
    <row r="1415" spans="1:25" s="724" customFormat="1" ht="15.75" customHeight="1">
      <c r="A1415" s="788" t="s">
        <v>802</v>
      </c>
      <c r="B1415" s="101" t="s">
        <v>82</v>
      </c>
      <c r="C1415" s="744">
        <f>CEILING(22*$Z$1,0.1)</f>
        <v>28.6</v>
      </c>
      <c r="D1415" s="744">
        <f>_xlfn.CEILING.MATH((C1415+10*$Z$1),0.1)</f>
        <v>41.6</v>
      </c>
      <c r="E1415" s="744">
        <f>CEILING(26*$Z$1,0.1)</f>
        <v>33.800000000000004</v>
      </c>
      <c r="F1415" s="744">
        <f>_xlfn.CEILING.MATH((E1415+10*$Z$1),0.1)</f>
        <v>46.800000000000004</v>
      </c>
      <c r="G1415" s="744">
        <f>CEILING(22*$Z$1,0.1)</f>
        <v>28.6</v>
      </c>
      <c r="H1415" s="744">
        <f>_xlfn.CEILING.MATH((G1415+10*$Z$1),0.1)</f>
        <v>41.6</v>
      </c>
      <c r="I1415" s="215"/>
      <c r="J1415" s="297"/>
      <c r="K1415" s="128"/>
      <c r="L1415" s="503"/>
      <c r="M1415" s="244"/>
      <c r="N1415" s="244"/>
      <c r="O1415" s="244"/>
      <c r="P1415" s="244"/>
      <c r="Q1415" s="244"/>
      <c r="R1415" s="244"/>
      <c r="S1415" s="244"/>
      <c r="T1415" s="244"/>
      <c r="U1415" s="244"/>
      <c r="V1415" s="244"/>
      <c r="W1415" s="244"/>
      <c r="X1415" s="244"/>
      <c r="Y1415" s="244"/>
    </row>
    <row r="1416" spans="1:25" s="724" customFormat="1" ht="17.25" customHeight="1">
      <c r="A1416" s="40" t="s">
        <v>250</v>
      </c>
      <c r="B1416" s="34" t="s">
        <v>83</v>
      </c>
      <c r="C1416" s="744">
        <f>_xlfn.CEILING.MATH((C1415+5*$Z$1),0.1)</f>
        <v>35.1</v>
      </c>
      <c r="D1416" s="762">
        <f>_xlfn.CEILING.MATH((C1416+10*$Z$1),0.1)</f>
        <v>48.1</v>
      </c>
      <c r="E1416" s="744">
        <f>_xlfn.CEILING.MATH((E1415+7*$Z$1),0.1)</f>
        <v>42.900000000000006</v>
      </c>
      <c r="F1416" s="762">
        <f>_xlfn.CEILING.MATH((E1416+10*$Z$1),0.1)</f>
        <v>55.900000000000006</v>
      </c>
      <c r="G1416" s="744">
        <f>_xlfn.CEILING.MATH((G1415+5*$Z$1),0.1)</f>
        <v>35.1</v>
      </c>
      <c r="H1416" s="762">
        <f>_xlfn.CEILING.MATH((G1416+10*$Z$1),0.1)</f>
        <v>48.1</v>
      </c>
      <c r="I1416" s="215"/>
      <c r="J1416" s="297"/>
      <c r="K1416" s="128"/>
      <c r="L1416" s="503"/>
      <c r="M1416" s="244"/>
      <c r="N1416" s="244"/>
      <c r="O1416" s="244"/>
      <c r="P1416" s="244"/>
      <c r="Q1416" s="244"/>
      <c r="R1416" s="244"/>
      <c r="S1416" s="244"/>
      <c r="T1416" s="244"/>
      <c r="U1416" s="244"/>
      <c r="V1416" s="244"/>
      <c r="W1416" s="244"/>
      <c r="X1416" s="244"/>
      <c r="Y1416" s="244"/>
    </row>
    <row r="1417" spans="1:25" s="724" customFormat="1" ht="16.5" customHeight="1">
      <c r="A1417" s="111"/>
      <c r="B1417" s="34" t="s">
        <v>286</v>
      </c>
      <c r="C1417" s="4">
        <v>0</v>
      </c>
      <c r="D1417" s="5">
        <v>0</v>
      </c>
      <c r="E1417" s="4">
        <v>0</v>
      </c>
      <c r="F1417" s="5">
        <v>0</v>
      </c>
      <c r="G1417" s="4">
        <v>0</v>
      </c>
      <c r="H1417" s="5">
        <v>0</v>
      </c>
      <c r="I1417" s="144"/>
      <c r="J1417" s="297"/>
      <c r="K1417" s="128"/>
      <c r="L1417" s="503"/>
      <c r="M1417" s="244"/>
      <c r="N1417" s="244"/>
      <c r="O1417" s="244"/>
      <c r="P1417" s="244"/>
      <c r="Q1417" s="244"/>
      <c r="R1417" s="244"/>
      <c r="S1417" s="244"/>
      <c r="T1417" s="244"/>
      <c r="U1417" s="244"/>
      <c r="V1417" s="244"/>
      <c r="W1417" s="244"/>
      <c r="X1417" s="244"/>
      <c r="Y1417" s="244"/>
    </row>
    <row r="1418" spans="1:25" s="724" customFormat="1" ht="15.75" customHeight="1" thickBot="1">
      <c r="A1418" s="95" t="s">
        <v>890</v>
      </c>
      <c r="B1418" s="152" t="s">
        <v>287</v>
      </c>
      <c r="C1418" s="751">
        <f aca="true" t="shared" si="21" ref="C1418:H1418">CEILING((C1415*0.7),0.1)</f>
        <v>20.1</v>
      </c>
      <c r="D1418" s="751">
        <f t="shared" si="21"/>
        <v>29.200000000000003</v>
      </c>
      <c r="E1418" s="751">
        <f t="shared" si="21"/>
        <v>23.700000000000003</v>
      </c>
      <c r="F1418" s="751">
        <f t="shared" si="21"/>
        <v>32.800000000000004</v>
      </c>
      <c r="G1418" s="751">
        <f t="shared" si="21"/>
        <v>20.1</v>
      </c>
      <c r="H1418" s="751">
        <f t="shared" si="21"/>
        <v>29.200000000000003</v>
      </c>
      <c r="I1418" s="215"/>
      <c r="J1418" s="297"/>
      <c r="K1418" s="128"/>
      <c r="L1418" s="503"/>
      <c r="M1418" s="244"/>
      <c r="N1418" s="244"/>
      <c r="O1418" s="244"/>
      <c r="P1418" s="244"/>
      <c r="Q1418" s="244"/>
      <c r="R1418" s="244"/>
      <c r="S1418" s="244"/>
      <c r="T1418" s="244"/>
      <c r="U1418" s="244"/>
      <c r="V1418" s="244"/>
      <c r="W1418" s="244"/>
      <c r="X1418" s="244"/>
      <c r="Y1418" s="244"/>
    </row>
    <row r="1419" spans="1:25" s="724" customFormat="1" ht="19.5" customHeight="1" thickTop="1">
      <c r="A1419" s="215" t="s">
        <v>527</v>
      </c>
      <c r="B1419" s="144"/>
      <c r="C1419" s="144"/>
      <c r="D1419" s="144"/>
      <c r="E1419" s="144"/>
      <c r="F1419" s="144"/>
      <c r="G1419" s="144"/>
      <c r="H1419" s="144"/>
      <c r="I1419" s="144"/>
      <c r="J1419" s="297"/>
      <c r="K1419" s="128"/>
      <c r="L1419" s="503"/>
      <c r="M1419" s="244"/>
      <c r="N1419" s="244"/>
      <c r="O1419" s="244"/>
      <c r="P1419" s="244"/>
      <c r="Q1419" s="244"/>
      <c r="R1419" s="244"/>
      <c r="S1419" s="244"/>
      <c r="T1419" s="244"/>
      <c r="U1419" s="244"/>
      <c r="V1419" s="244"/>
      <c r="W1419" s="244"/>
      <c r="X1419" s="244"/>
      <c r="Y1419" s="244"/>
    </row>
    <row r="1420" spans="1:25" s="724" customFormat="1" ht="19.5" customHeight="1" thickBot="1">
      <c r="A1420" s="150"/>
      <c r="B1420" s="150"/>
      <c r="C1420" s="144"/>
      <c r="D1420" s="144"/>
      <c r="E1420" s="144"/>
      <c r="F1420" s="144"/>
      <c r="G1420" s="144"/>
      <c r="H1420" s="144"/>
      <c r="I1420" s="144"/>
      <c r="J1420" s="297"/>
      <c r="K1420" s="128"/>
      <c r="L1420" s="503"/>
      <c r="M1420" s="244"/>
      <c r="N1420" s="244"/>
      <c r="O1420" s="244"/>
      <c r="P1420" s="244"/>
      <c r="Q1420" s="244"/>
      <c r="R1420" s="244"/>
      <c r="S1420" s="244"/>
      <c r="T1420" s="244"/>
      <c r="U1420" s="244"/>
      <c r="V1420" s="244"/>
      <c r="W1420" s="244"/>
      <c r="X1420" s="244"/>
      <c r="Y1420" s="244"/>
    </row>
    <row r="1421" spans="1:25" s="724" customFormat="1" ht="16.5" customHeight="1" thickTop="1">
      <c r="A1421" s="949" t="s">
        <v>74</v>
      </c>
      <c r="B1421" s="191"/>
      <c r="C1421" s="863" t="s">
        <v>665</v>
      </c>
      <c r="D1421" s="953"/>
      <c r="E1421" s="863" t="s">
        <v>669</v>
      </c>
      <c r="F1421" s="953"/>
      <c r="G1421" s="863" t="s">
        <v>668</v>
      </c>
      <c r="H1421" s="864"/>
      <c r="I1421" s="215"/>
      <c r="J1421" s="297"/>
      <c r="K1421" s="128"/>
      <c r="L1421" s="503"/>
      <c r="M1421" s="244"/>
      <c r="N1421" s="244"/>
      <c r="O1421" s="244"/>
      <c r="P1421" s="244"/>
      <c r="Q1421" s="244"/>
      <c r="R1421" s="244"/>
      <c r="S1421" s="244"/>
      <c r="T1421" s="244"/>
      <c r="U1421" s="244"/>
      <c r="V1421" s="244"/>
      <c r="W1421" s="244"/>
      <c r="X1421" s="244"/>
      <c r="Y1421" s="244"/>
    </row>
    <row r="1422" spans="1:25" s="724" customFormat="1" ht="14.25" customHeight="1">
      <c r="A1422" s="950"/>
      <c r="B1422" s="192"/>
      <c r="C1422" s="124" t="s">
        <v>144</v>
      </c>
      <c r="D1422" s="197" t="s">
        <v>146</v>
      </c>
      <c r="E1422" s="124" t="s">
        <v>144</v>
      </c>
      <c r="F1422" s="198" t="s">
        <v>146</v>
      </c>
      <c r="G1422" s="124" t="s">
        <v>144</v>
      </c>
      <c r="H1422" s="125" t="s">
        <v>146</v>
      </c>
      <c r="I1422" s="215"/>
      <c r="J1422" s="297"/>
      <c r="K1422" s="128"/>
      <c r="L1422" s="503"/>
      <c r="M1422" s="244"/>
      <c r="N1422" s="244"/>
      <c r="O1422" s="244"/>
      <c r="P1422" s="244"/>
      <c r="Q1422" s="244"/>
      <c r="R1422" s="244"/>
      <c r="S1422" s="244"/>
      <c r="T1422" s="244"/>
      <c r="U1422" s="244"/>
      <c r="V1422" s="244"/>
      <c r="W1422" s="244"/>
      <c r="X1422" s="244"/>
      <c r="Y1422" s="244"/>
    </row>
    <row r="1423" spans="1:25" s="724" customFormat="1" ht="15.75" customHeight="1">
      <c r="A1423" s="787" t="s">
        <v>803</v>
      </c>
      <c r="B1423" s="101" t="s">
        <v>82</v>
      </c>
      <c r="C1423" s="744">
        <f>CEILING(20*$Z$1,0.1)</f>
        <v>26</v>
      </c>
      <c r="D1423" s="744">
        <f>_xlfn.CEILING.MATH((C1423+10*$Z$1),0.1)</f>
        <v>39</v>
      </c>
      <c r="E1423" s="744">
        <f>CEILING(23*$Z$1,0.1)</f>
        <v>29.900000000000002</v>
      </c>
      <c r="F1423" s="744">
        <f>_xlfn.CEILING.MATH((E1423+10*$Z$1),0.1)</f>
        <v>42.900000000000006</v>
      </c>
      <c r="G1423" s="744">
        <f>CEILING(20*$Z$1,0.1)</f>
        <v>26</v>
      </c>
      <c r="H1423" s="744">
        <f>_xlfn.CEILING.MATH((G1423+10*$Z$1),0.1)</f>
        <v>39</v>
      </c>
      <c r="I1423" s="215"/>
      <c r="J1423" s="297"/>
      <c r="K1423" s="128"/>
      <c r="L1423" s="503"/>
      <c r="M1423" s="244"/>
      <c r="N1423" s="244"/>
      <c r="O1423" s="244"/>
      <c r="P1423" s="244"/>
      <c r="Q1423" s="244"/>
      <c r="R1423" s="244"/>
      <c r="S1423" s="244"/>
      <c r="T1423" s="244"/>
      <c r="U1423" s="244"/>
      <c r="V1423" s="244"/>
      <c r="W1423" s="244"/>
      <c r="X1423" s="244"/>
      <c r="Y1423" s="244"/>
    </row>
    <row r="1424" spans="1:25" s="724" customFormat="1" ht="17.25" customHeight="1">
      <c r="A1424" s="789" t="s">
        <v>250</v>
      </c>
      <c r="B1424" s="34" t="s">
        <v>83</v>
      </c>
      <c r="C1424" s="744">
        <f>_xlfn.CEILING.MATH((C1423+6*$Z$1),0.1)</f>
        <v>33.800000000000004</v>
      </c>
      <c r="D1424" s="762">
        <f>_xlfn.CEILING.MATH((C1424+10*$Z$1),0.1)</f>
        <v>46.800000000000004</v>
      </c>
      <c r="E1424" s="744">
        <f>_xlfn.CEILING.MATH((E1423+6*$Z$1),0.1)</f>
        <v>37.7</v>
      </c>
      <c r="F1424" s="762">
        <f>_xlfn.CEILING.MATH((E1424+10*$Z$1),0.1)</f>
        <v>50.7</v>
      </c>
      <c r="G1424" s="744">
        <f>_xlfn.CEILING.MATH((G1423+6*$Z$1),0.1)</f>
        <v>33.800000000000004</v>
      </c>
      <c r="H1424" s="762">
        <f>_xlfn.CEILING.MATH((G1424+10*$Z$1),0.1)</f>
        <v>46.800000000000004</v>
      </c>
      <c r="I1424" s="144"/>
      <c r="J1424" s="297"/>
      <c r="K1424" s="128"/>
      <c r="L1424" s="503"/>
      <c r="M1424" s="244"/>
      <c r="N1424" s="244"/>
      <c r="O1424" s="244"/>
      <c r="P1424" s="244"/>
      <c r="Q1424" s="244"/>
      <c r="R1424" s="244"/>
      <c r="S1424" s="244"/>
      <c r="T1424" s="244"/>
      <c r="U1424" s="244"/>
      <c r="V1424" s="244"/>
      <c r="W1424" s="244"/>
      <c r="X1424" s="244"/>
      <c r="Y1424" s="244"/>
    </row>
    <row r="1425" spans="1:25" s="724" customFormat="1" ht="15.75" customHeight="1">
      <c r="A1425" s="111"/>
      <c r="B1425" s="34" t="s">
        <v>286</v>
      </c>
      <c r="C1425" s="4">
        <v>0</v>
      </c>
      <c r="D1425" s="5">
        <v>0</v>
      </c>
      <c r="E1425" s="4">
        <v>0</v>
      </c>
      <c r="F1425" s="5">
        <v>0</v>
      </c>
      <c r="G1425" s="4">
        <v>0</v>
      </c>
      <c r="H1425" s="5">
        <v>0</v>
      </c>
      <c r="I1425" s="144"/>
      <c r="J1425" s="297"/>
      <c r="K1425" s="128"/>
      <c r="L1425" s="503"/>
      <c r="M1425" s="244"/>
      <c r="N1425" s="244"/>
      <c r="O1425" s="244"/>
      <c r="P1425" s="244"/>
      <c r="Q1425" s="244"/>
      <c r="R1425" s="244"/>
      <c r="S1425" s="244"/>
      <c r="T1425" s="244"/>
      <c r="U1425" s="244"/>
      <c r="V1425" s="244"/>
      <c r="W1425" s="244"/>
      <c r="X1425" s="244"/>
      <c r="Y1425" s="244"/>
    </row>
    <row r="1426" spans="1:25" s="724" customFormat="1" ht="15.75" customHeight="1" thickBot="1">
      <c r="A1426" s="95" t="s">
        <v>883</v>
      </c>
      <c r="B1426" s="152" t="s">
        <v>287</v>
      </c>
      <c r="C1426" s="751">
        <f aca="true" t="shared" si="22" ref="C1426:H1426">CEILING((C1423*0.7),0.1)</f>
        <v>18.2</v>
      </c>
      <c r="D1426" s="751">
        <f t="shared" si="22"/>
        <v>27.3</v>
      </c>
      <c r="E1426" s="751">
        <f t="shared" si="22"/>
        <v>21</v>
      </c>
      <c r="F1426" s="751">
        <f t="shared" si="22"/>
        <v>30.1</v>
      </c>
      <c r="G1426" s="751">
        <f t="shared" si="22"/>
        <v>18.2</v>
      </c>
      <c r="H1426" s="751">
        <f t="shared" si="22"/>
        <v>27.3</v>
      </c>
      <c r="I1426" s="215"/>
      <c r="J1426" s="297"/>
      <c r="K1426" s="128"/>
      <c r="L1426" s="503"/>
      <c r="M1426" s="244"/>
      <c r="N1426" s="244"/>
      <c r="O1426" s="244"/>
      <c r="P1426" s="244"/>
      <c r="Q1426" s="244"/>
      <c r="R1426" s="244"/>
      <c r="S1426" s="244"/>
      <c r="T1426" s="244"/>
      <c r="U1426" s="244"/>
      <c r="V1426" s="244"/>
      <c r="W1426" s="244"/>
      <c r="X1426" s="244"/>
      <c r="Y1426" s="244"/>
    </row>
    <row r="1427" spans="1:25" s="724" customFormat="1" ht="19.5" customHeight="1" thickTop="1">
      <c r="A1427" s="215" t="s">
        <v>527</v>
      </c>
      <c r="B1427" s="144"/>
      <c r="C1427" s="144"/>
      <c r="D1427" s="144"/>
      <c r="E1427" s="144"/>
      <c r="F1427" s="144"/>
      <c r="G1427" s="144"/>
      <c r="H1427" s="144"/>
      <c r="I1427" s="144"/>
      <c r="J1427" s="297"/>
      <c r="K1427" s="128"/>
      <c r="L1427" s="503"/>
      <c r="M1427" s="244"/>
      <c r="N1427" s="244"/>
      <c r="O1427" s="244"/>
      <c r="P1427" s="244"/>
      <c r="Q1427" s="244"/>
      <c r="R1427" s="244"/>
      <c r="S1427" s="244"/>
      <c r="T1427" s="244"/>
      <c r="U1427" s="244"/>
      <c r="V1427" s="244"/>
      <c r="W1427" s="244"/>
      <c r="X1427" s="244"/>
      <c r="Y1427" s="244"/>
    </row>
    <row r="1428" spans="1:13" ht="15">
      <c r="A1428" s="97"/>
      <c r="B1428" s="100"/>
      <c r="C1428" s="98"/>
      <c r="D1428" s="98"/>
      <c r="E1428" s="98"/>
      <c r="F1428" s="98"/>
      <c r="G1428" s="98"/>
      <c r="H1428" s="98"/>
      <c r="I1428" s="18"/>
      <c r="J1428" s="18"/>
      <c r="K1428" s="503"/>
      <c r="L1428" s="503"/>
      <c r="M1428" s="244"/>
    </row>
    <row r="1429" spans="1:13" ht="16.5" customHeight="1">
      <c r="A1429" s="1020" t="s">
        <v>221</v>
      </c>
      <c r="B1429" s="1020"/>
      <c r="C1429" s="1020"/>
      <c r="D1429" s="1020"/>
      <c r="E1429" s="1020"/>
      <c r="F1429" s="1020"/>
      <c r="G1429" s="1020"/>
      <c r="H1429" s="1020"/>
      <c r="I1429" s="1020"/>
      <c r="J1429" s="244"/>
      <c r="K1429" s="503"/>
      <c r="L1429" s="503"/>
      <c r="M1429" s="244"/>
    </row>
    <row r="1430" spans="1:25" s="724" customFormat="1" ht="16.5" customHeight="1" thickBot="1">
      <c r="A1430" s="690"/>
      <c r="B1430" s="690"/>
      <c r="C1430" s="690"/>
      <c r="D1430" s="690"/>
      <c r="E1430" s="690"/>
      <c r="F1430" s="690"/>
      <c r="G1430" s="690"/>
      <c r="H1430" s="690"/>
      <c r="I1430" s="690"/>
      <c r="J1430" s="244"/>
      <c r="K1430" s="503"/>
      <c r="L1430" s="503"/>
      <c r="M1430" s="244"/>
      <c r="N1430" s="244"/>
      <c r="O1430" s="244"/>
      <c r="P1430" s="244"/>
      <c r="Q1430" s="244"/>
      <c r="R1430" s="244"/>
      <c r="S1430" s="244"/>
      <c r="T1430" s="244"/>
      <c r="U1430" s="244"/>
      <c r="V1430" s="244"/>
      <c r="W1430" s="244"/>
      <c r="X1430" s="244"/>
      <c r="Y1430" s="244"/>
    </row>
    <row r="1431" spans="1:15" s="724" customFormat="1" ht="15.75" thickTop="1">
      <c r="A1431" s="1033" t="s">
        <v>74</v>
      </c>
      <c r="B1431" s="1031"/>
      <c r="C1431" s="863" t="s">
        <v>847</v>
      </c>
      <c r="D1431" s="953"/>
      <c r="E1431" s="863" t="s">
        <v>714</v>
      </c>
      <c r="F1431" s="953"/>
      <c r="G1431" s="1002"/>
      <c r="H1431" s="1003"/>
      <c r="I1431" s="251"/>
      <c r="J1431" s="551"/>
      <c r="K1431" s="551"/>
      <c r="L1431" s="551"/>
      <c r="M1431" s="584"/>
      <c r="N1431" s="584"/>
      <c r="O1431" s="584"/>
    </row>
    <row r="1432" spans="1:15" s="724" customFormat="1" ht="15">
      <c r="A1432" s="1034"/>
      <c r="B1432" s="1097"/>
      <c r="C1432" s="1112" t="s">
        <v>848</v>
      </c>
      <c r="D1432" s="1117"/>
      <c r="E1432" s="1112" t="s">
        <v>850</v>
      </c>
      <c r="F1432" s="1117"/>
      <c r="G1432" s="803"/>
      <c r="H1432" s="745"/>
      <c r="I1432" s="251"/>
      <c r="J1432" s="551"/>
      <c r="K1432" s="551"/>
      <c r="L1432" s="551"/>
      <c r="M1432" s="584"/>
      <c r="N1432" s="584"/>
      <c r="O1432" s="584"/>
    </row>
    <row r="1433" spans="1:15" s="724" customFormat="1" ht="15">
      <c r="A1433" s="1034"/>
      <c r="B1433" s="1097"/>
      <c r="C1433" s="1112" t="s">
        <v>849</v>
      </c>
      <c r="D1433" s="1117"/>
      <c r="E1433" s="1112" t="s">
        <v>851</v>
      </c>
      <c r="F1433" s="1113"/>
      <c r="G1433" s="803"/>
      <c r="H1433" s="745"/>
      <c r="I1433" s="251"/>
      <c r="J1433" s="551"/>
      <c r="K1433" s="551"/>
      <c r="L1433" s="551"/>
      <c r="M1433" s="584"/>
      <c r="N1433" s="584"/>
      <c r="O1433" s="584"/>
    </row>
    <row r="1434" spans="1:15" s="724" customFormat="1" ht="15">
      <c r="A1434" s="862"/>
      <c r="B1434" s="1032"/>
      <c r="C1434" s="804" t="s">
        <v>852</v>
      </c>
      <c r="D1434" s="804" t="s">
        <v>144</v>
      </c>
      <c r="E1434" s="804" t="s">
        <v>852</v>
      </c>
      <c r="F1434" s="804" t="s">
        <v>144</v>
      </c>
      <c r="G1434" s="596"/>
      <c r="H1434" s="593"/>
      <c r="I1434" s="251"/>
      <c r="J1434" s="551"/>
      <c r="K1434" s="551"/>
      <c r="L1434" s="551"/>
      <c r="M1434" s="584"/>
      <c r="N1434" s="584"/>
      <c r="O1434" s="584"/>
    </row>
    <row r="1435" spans="1:15" s="724" customFormat="1" ht="15">
      <c r="A1435" s="795" t="s">
        <v>830</v>
      </c>
      <c r="B1435" s="186" t="s">
        <v>831</v>
      </c>
      <c r="C1435" s="744">
        <f>CEILING(210*$Z$1,0.1)</f>
        <v>273</v>
      </c>
      <c r="D1435" s="744">
        <f>_xlfn.CEILING.MATH((C1435+30*$Z$1),0.1)</f>
        <v>312</v>
      </c>
      <c r="E1435" s="744">
        <f>CEILING(245*$Z$1,0.1)</f>
        <v>318.5</v>
      </c>
      <c r="F1435" s="744">
        <f>_xlfn.CEILING.MATH((E1435+30*$Z$1),0.1)</f>
        <v>357.5</v>
      </c>
      <c r="G1435" s="740"/>
      <c r="H1435" s="741"/>
      <c r="I1435" s="251"/>
      <c r="J1435" s="551"/>
      <c r="K1435" s="551"/>
      <c r="L1435" s="551"/>
      <c r="M1435" s="584"/>
      <c r="N1435" s="584"/>
      <c r="O1435" s="584"/>
    </row>
    <row r="1436" spans="1:15" s="724" customFormat="1" ht="15">
      <c r="A1436" s="796" t="s">
        <v>76</v>
      </c>
      <c r="B1436" s="797" t="s">
        <v>832</v>
      </c>
      <c r="C1436" s="744">
        <f>CEILING(420*$Z$1,0.1)</f>
        <v>546</v>
      </c>
      <c r="D1436" s="762">
        <f>_xlfn.CEILING.MATH((C1436+30*$Z$1),0.1)</f>
        <v>585</v>
      </c>
      <c r="E1436" s="744">
        <f>CEILING(490*$Z$1,0.1)</f>
        <v>637</v>
      </c>
      <c r="F1436" s="762">
        <f>_xlfn.CEILING.MATH((E1436+30*$Z$1),0.1)</f>
        <v>676</v>
      </c>
      <c r="G1436" s="740"/>
      <c r="H1436" s="741"/>
      <c r="I1436" s="251"/>
      <c r="J1436" s="551"/>
      <c r="K1436" s="551"/>
      <c r="L1436" s="551"/>
      <c r="M1436" s="584"/>
      <c r="N1436" s="584"/>
      <c r="O1436" s="584"/>
    </row>
    <row r="1437" spans="1:15" s="724" customFormat="1" ht="15">
      <c r="A1437" s="789"/>
      <c r="B1437" s="797" t="s">
        <v>113</v>
      </c>
      <c r="C1437" s="744">
        <f>CEILING(220*$Z$1,0.1)</f>
        <v>286</v>
      </c>
      <c r="D1437" s="762">
        <f>_xlfn.CEILING.MATH((C1437+30*$Z$1),0.1)</f>
        <v>325</v>
      </c>
      <c r="E1437" s="744">
        <f>CEILING(255*$Z$1,0.1)</f>
        <v>331.5</v>
      </c>
      <c r="F1437" s="762">
        <f>_xlfn.CEILING.MATH((E1437+30*$Z$1),0.1)</f>
        <v>370.5</v>
      </c>
      <c r="G1437" s="740"/>
      <c r="H1437" s="741"/>
      <c r="I1437" s="251"/>
      <c r="J1437" s="551"/>
      <c r="K1437" s="551"/>
      <c r="L1437" s="551"/>
      <c r="M1437" s="584"/>
      <c r="N1437" s="584"/>
      <c r="O1437" s="584"/>
    </row>
    <row r="1438" spans="1:15" s="724" customFormat="1" ht="15">
      <c r="A1438" s="789"/>
      <c r="B1438" s="797" t="s">
        <v>114</v>
      </c>
      <c r="C1438" s="744">
        <f>CEILING(440*$Z$1,0.1)</f>
        <v>572</v>
      </c>
      <c r="D1438" s="762">
        <f aca="true" t="shared" si="23" ref="D1438:F1449">_xlfn.CEILING.MATH((C1438+30*$Z$1),0.1)</f>
        <v>611</v>
      </c>
      <c r="E1438" s="744">
        <f>CEILING(510*$Z$1,0.1)</f>
        <v>663</v>
      </c>
      <c r="F1438" s="762">
        <f t="shared" si="23"/>
        <v>702</v>
      </c>
      <c r="G1438" s="740"/>
      <c r="H1438" s="741"/>
      <c r="I1438" s="251"/>
      <c r="J1438" s="551"/>
      <c r="K1438" s="551"/>
      <c r="L1438" s="551"/>
      <c r="M1438" s="584"/>
      <c r="N1438" s="584"/>
      <c r="O1438" s="584"/>
    </row>
    <row r="1439" spans="1:15" s="724" customFormat="1" ht="15">
      <c r="A1439" s="798" t="s">
        <v>833</v>
      </c>
      <c r="B1439" s="797" t="s">
        <v>834</v>
      </c>
      <c r="C1439" s="744">
        <f>CEILING(235*$Z$1,0.1)</f>
        <v>305.5</v>
      </c>
      <c r="D1439" s="762">
        <f t="shared" si="23"/>
        <v>344.5</v>
      </c>
      <c r="E1439" s="744">
        <f>CEILING(275*$Z$1,0.1)</f>
        <v>357.5</v>
      </c>
      <c r="F1439" s="762">
        <f t="shared" si="23"/>
        <v>396.5</v>
      </c>
      <c r="G1439" s="740"/>
      <c r="H1439" s="741"/>
      <c r="I1439" s="251"/>
      <c r="J1439" s="551"/>
      <c r="K1439" s="551"/>
      <c r="L1439" s="551"/>
      <c r="M1439" s="584"/>
      <c r="N1439" s="584"/>
      <c r="O1439" s="584"/>
    </row>
    <row r="1440" spans="1:15" s="724" customFormat="1" ht="15">
      <c r="A1440" s="789"/>
      <c r="B1440" s="797" t="s">
        <v>835</v>
      </c>
      <c r="C1440" s="744">
        <f>CEILING(470*$Z$1,0.1)</f>
        <v>611</v>
      </c>
      <c r="D1440" s="762">
        <f t="shared" si="23"/>
        <v>650</v>
      </c>
      <c r="E1440" s="744">
        <f>CEILING(550*$Z$1,0.1)</f>
        <v>715</v>
      </c>
      <c r="F1440" s="762">
        <f t="shared" si="23"/>
        <v>754</v>
      </c>
      <c r="G1440" s="740"/>
      <c r="H1440" s="741"/>
      <c r="I1440" s="251"/>
      <c r="J1440" s="551"/>
      <c r="K1440" s="551"/>
      <c r="L1440" s="551"/>
      <c r="M1440" s="584"/>
      <c r="N1440" s="584"/>
      <c r="O1440" s="584"/>
    </row>
    <row r="1441" spans="1:15" s="724" customFormat="1" ht="15">
      <c r="A1441" s="789"/>
      <c r="B1441" s="797" t="s">
        <v>836</v>
      </c>
      <c r="C1441" s="744">
        <f>CEILING(255*$Z$1,0.1)</f>
        <v>331.5</v>
      </c>
      <c r="D1441" s="762">
        <f t="shared" si="23"/>
        <v>370.5</v>
      </c>
      <c r="E1441" s="744">
        <f>CEILING(290*$Z$1,0.1)</f>
        <v>377</v>
      </c>
      <c r="F1441" s="762">
        <f t="shared" si="23"/>
        <v>416</v>
      </c>
      <c r="G1441" s="740"/>
      <c r="H1441" s="741"/>
      <c r="I1441" s="251"/>
      <c r="J1441" s="551"/>
      <c r="K1441" s="551"/>
      <c r="L1441" s="551"/>
      <c r="M1441" s="584"/>
      <c r="N1441" s="584"/>
      <c r="O1441" s="584"/>
    </row>
    <row r="1442" spans="1:15" s="724" customFormat="1" ht="15">
      <c r="A1442" s="789"/>
      <c r="B1442" s="797" t="s">
        <v>837</v>
      </c>
      <c r="C1442" s="744">
        <f>CEILING(510*$Z$1,0.1)</f>
        <v>663</v>
      </c>
      <c r="D1442" s="762">
        <f t="shared" si="23"/>
        <v>702</v>
      </c>
      <c r="E1442" s="744">
        <f>CEILING(580*$Z$1,0.1)</f>
        <v>754</v>
      </c>
      <c r="F1442" s="762">
        <f t="shared" si="23"/>
        <v>793</v>
      </c>
      <c r="G1442" s="740"/>
      <c r="H1442" s="741"/>
      <c r="I1442" s="251"/>
      <c r="J1442" s="551"/>
      <c r="K1442" s="551"/>
      <c r="L1442" s="551"/>
      <c r="M1442" s="584"/>
      <c r="N1442" s="584"/>
      <c r="O1442" s="584"/>
    </row>
    <row r="1443" spans="1:15" s="724" customFormat="1" ht="15">
      <c r="A1443" s="789"/>
      <c r="B1443" s="797" t="s">
        <v>838</v>
      </c>
      <c r="C1443" s="744">
        <f>CEILING(295*$Z$1,0.1)</f>
        <v>383.5</v>
      </c>
      <c r="D1443" s="762">
        <f t="shared" si="23"/>
        <v>422.5</v>
      </c>
      <c r="E1443" s="744">
        <f>CEILING(340*$Z$1,0.1)</f>
        <v>442</v>
      </c>
      <c r="F1443" s="762">
        <f t="shared" si="23"/>
        <v>481</v>
      </c>
      <c r="G1443" s="740"/>
      <c r="H1443" s="741"/>
      <c r="I1443" s="251"/>
      <c r="J1443" s="551"/>
      <c r="K1443" s="551"/>
      <c r="L1443" s="551"/>
      <c r="M1443" s="584"/>
      <c r="N1443" s="584"/>
      <c r="O1443" s="584"/>
    </row>
    <row r="1444" spans="1:15" s="724" customFormat="1" ht="15">
      <c r="A1444" s="789"/>
      <c r="B1444" s="797" t="s">
        <v>838</v>
      </c>
      <c r="C1444" s="744">
        <f>CEILING(590*$Z$1,0.1)</f>
        <v>767</v>
      </c>
      <c r="D1444" s="762">
        <f t="shared" si="23"/>
        <v>806</v>
      </c>
      <c r="E1444" s="744">
        <f>CEILING(680*$Z$1,0.1)</f>
        <v>884</v>
      </c>
      <c r="F1444" s="762">
        <f t="shared" si="23"/>
        <v>923</v>
      </c>
      <c r="G1444" s="740"/>
      <c r="H1444" s="741"/>
      <c r="I1444" s="251"/>
      <c r="J1444" s="551"/>
      <c r="K1444" s="551"/>
      <c r="L1444" s="551"/>
      <c r="M1444" s="584"/>
      <c r="N1444" s="584"/>
      <c r="O1444" s="584"/>
    </row>
    <row r="1445" spans="1:15" s="724" customFormat="1" ht="15">
      <c r="A1445" s="789"/>
      <c r="B1445" s="797" t="s">
        <v>839</v>
      </c>
      <c r="C1445" s="744">
        <f>CEILING(305*$Z$1,0.1)</f>
        <v>396.5</v>
      </c>
      <c r="D1445" s="762">
        <f t="shared" si="23"/>
        <v>435.5</v>
      </c>
      <c r="E1445" s="744">
        <f>CEILING(350*$Z$1,0.1)</f>
        <v>455</v>
      </c>
      <c r="F1445" s="762">
        <f t="shared" si="23"/>
        <v>494</v>
      </c>
      <c r="G1445" s="740"/>
      <c r="H1445" s="741"/>
      <c r="I1445" s="251"/>
      <c r="J1445" s="551"/>
      <c r="K1445" s="551"/>
      <c r="L1445" s="551"/>
      <c r="M1445" s="584"/>
      <c r="N1445" s="584"/>
      <c r="O1445" s="584"/>
    </row>
    <row r="1446" spans="1:15" s="724" customFormat="1" ht="15">
      <c r="A1446" s="789"/>
      <c r="B1446" s="797" t="s">
        <v>840</v>
      </c>
      <c r="C1446" s="744">
        <f>CEILING(330*$Z$1,0.1)</f>
        <v>429</v>
      </c>
      <c r="D1446" s="762">
        <f t="shared" si="23"/>
        <v>468</v>
      </c>
      <c r="E1446" s="744">
        <f>CEILING(370*$Z$1,0.1)</f>
        <v>481</v>
      </c>
      <c r="F1446" s="762">
        <f t="shared" si="23"/>
        <v>520</v>
      </c>
      <c r="G1446" s="740"/>
      <c r="H1446" s="741"/>
      <c r="I1446" s="251"/>
      <c r="J1446" s="551"/>
      <c r="K1446" s="551"/>
      <c r="L1446" s="551"/>
      <c r="M1446" s="584"/>
      <c r="N1446" s="584"/>
      <c r="O1446" s="584"/>
    </row>
    <row r="1447" spans="1:15" s="724" customFormat="1" ht="15">
      <c r="A1447" s="789"/>
      <c r="B1447" s="12" t="s">
        <v>841</v>
      </c>
      <c r="C1447" s="744">
        <f>CEILING(660*$Z$1,0.1)</f>
        <v>858</v>
      </c>
      <c r="D1447" s="762">
        <f t="shared" si="23"/>
        <v>897</v>
      </c>
      <c r="E1447" s="744">
        <f>CEILING(740*$Z$1,0.1)</f>
        <v>962</v>
      </c>
      <c r="F1447" s="762">
        <f t="shared" si="23"/>
        <v>1001</v>
      </c>
      <c r="G1447" s="740"/>
      <c r="H1447" s="741"/>
      <c r="I1447" s="251"/>
      <c r="J1447" s="551"/>
      <c r="K1447" s="551"/>
      <c r="L1447" s="551"/>
      <c r="M1447" s="584"/>
      <c r="N1447" s="584"/>
      <c r="O1447" s="584"/>
    </row>
    <row r="1448" spans="1:15" s="724" customFormat="1" ht="15">
      <c r="A1448" s="789"/>
      <c r="B1448" s="797" t="s">
        <v>842</v>
      </c>
      <c r="C1448" s="744">
        <f>CEILING(555*$Z$1,0.1)</f>
        <v>721.5</v>
      </c>
      <c r="D1448" s="762">
        <f t="shared" si="23"/>
        <v>760.5</v>
      </c>
      <c r="E1448" s="744">
        <f>CEILING(600*$Z$1,0.1)</f>
        <v>780</v>
      </c>
      <c r="F1448" s="762">
        <f t="shared" si="23"/>
        <v>819</v>
      </c>
      <c r="G1448" s="740"/>
      <c r="H1448" s="741"/>
      <c r="I1448" s="251"/>
      <c r="J1448" s="551"/>
      <c r="K1448" s="551"/>
      <c r="L1448" s="551"/>
      <c r="M1448" s="584"/>
      <c r="N1448" s="584"/>
      <c r="O1448" s="584"/>
    </row>
    <row r="1449" spans="1:15" s="724" customFormat="1" ht="15">
      <c r="A1449" s="789"/>
      <c r="B1449" s="797" t="s">
        <v>843</v>
      </c>
      <c r="C1449" s="744">
        <f>CEILING(1110*$Z$1,0.1)</f>
        <v>1443</v>
      </c>
      <c r="D1449" s="762">
        <f t="shared" si="23"/>
        <v>1482</v>
      </c>
      <c r="E1449" s="744">
        <f>CEILING(1200*$Z$1,0.1)</f>
        <v>1560</v>
      </c>
      <c r="F1449" s="762">
        <f t="shared" si="23"/>
        <v>1599</v>
      </c>
      <c r="G1449" s="740"/>
      <c r="H1449" s="741"/>
      <c r="I1449" s="251"/>
      <c r="J1449" s="551"/>
      <c r="K1449" s="551"/>
      <c r="L1449" s="551"/>
      <c r="M1449" s="584"/>
      <c r="N1449" s="584"/>
      <c r="O1449" s="584"/>
    </row>
    <row r="1450" spans="1:15" s="724" customFormat="1" ht="15">
      <c r="A1450" s="789"/>
      <c r="B1450" s="12" t="s">
        <v>844</v>
      </c>
      <c r="C1450" s="740">
        <v>0</v>
      </c>
      <c r="D1450" s="740">
        <v>0</v>
      </c>
      <c r="E1450" s="740">
        <v>0</v>
      </c>
      <c r="F1450" s="740">
        <v>0</v>
      </c>
      <c r="G1450" s="740"/>
      <c r="H1450" s="741"/>
      <c r="I1450" s="251"/>
      <c r="J1450" s="551"/>
      <c r="K1450" s="551"/>
      <c r="L1450" s="551"/>
      <c r="M1450" s="584"/>
      <c r="N1450" s="584"/>
      <c r="O1450" s="584"/>
    </row>
    <row r="1451" spans="1:15" s="724" customFormat="1" ht="15">
      <c r="A1451" s="789"/>
      <c r="B1451" s="12" t="s">
        <v>845</v>
      </c>
      <c r="C1451" s="744">
        <f>CEILING(45*$Z$1,0.1)</f>
        <v>58.5</v>
      </c>
      <c r="D1451" s="744">
        <f>_xlfn.CEILING.MATH((C1451+15*$Z$1),0.1)</f>
        <v>78</v>
      </c>
      <c r="E1451" s="744">
        <f>CEILING(45*$Z$1,0.1)</f>
        <v>58.5</v>
      </c>
      <c r="F1451" s="744">
        <f>_xlfn.CEILING.MATH((E1451+15*$Z$1),0.1)</f>
        <v>78</v>
      </c>
      <c r="G1451" s="740"/>
      <c r="H1451" s="741"/>
      <c r="I1451" s="251"/>
      <c r="J1451" s="551"/>
      <c r="K1451" s="551"/>
      <c r="L1451" s="551"/>
      <c r="M1451" s="584"/>
      <c r="N1451" s="584"/>
      <c r="O1451" s="584"/>
    </row>
    <row r="1452" spans="1:15" s="724" customFormat="1" ht="15.75" thickBot="1">
      <c r="A1452" s="799"/>
      <c r="B1452" s="800" t="s">
        <v>116</v>
      </c>
      <c r="C1452" s="771">
        <f>CEILING(90*$Z$1,0.1)</f>
        <v>117</v>
      </c>
      <c r="D1452" s="771">
        <f>_xlfn.CEILING.MATH((C1452+30*$Z$1),0.1)</f>
        <v>156</v>
      </c>
      <c r="E1452" s="771">
        <f>CEILING(90*$Z$1,0.1)</f>
        <v>117</v>
      </c>
      <c r="F1452" s="771">
        <f>_xlfn.CEILING.MATH((E1452+30*$Z$1),0.1)</f>
        <v>156</v>
      </c>
      <c r="G1452" s="740"/>
      <c r="H1452" s="741"/>
      <c r="I1452" s="251"/>
      <c r="J1452" s="551"/>
      <c r="K1452" s="551"/>
      <c r="L1452" s="551"/>
      <c r="M1452" s="584"/>
      <c r="N1452" s="584"/>
      <c r="O1452" s="584"/>
    </row>
    <row r="1453" spans="1:15" s="724" customFormat="1" ht="15.75" thickTop="1">
      <c r="A1453" s="1110" t="s">
        <v>846</v>
      </c>
      <c r="B1453" s="1110"/>
      <c r="C1453" s="1110"/>
      <c r="D1453" s="1110"/>
      <c r="E1453" s="1110"/>
      <c r="F1453" s="1110"/>
      <c r="G1453" s="1111"/>
      <c r="H1453" s="1111"/>
      <c r="I1453" s="252"/>
      <c r="J1453" s="551"/>
      <c r="K1453" s="551"/>
      <c r="L1453" s="551"/>
      <c r="M1453" s="584"/>
      <c r="N1453" s="584"/>
      <c r="O1453" s="584"/>
    </row>
    <row r="1454" spans="1:15" s="724" customFormat="1" ht="15">
      <c r="A1454" s="801" t="s">
        <v>853</v>
      </c>
      <c r="B1454" s="802"/>
      <c r="C1454" s="802"/>
      <c r="D1454" s="802"/>
      <c r="E1454" s="802"/>
      <c r="F1454" s="802"/>
      <c r="G1454" s="802"/>
      <c r="H1454" s="802"/>
      <c r="I1454" s="252"/>
      <c r="J1454" s="551"/>
      <c r="K1454" s="551"/>
      <c r="L1454" s="551"/>
      <c r="M1454" s="584"/>
      <c r="N1454" s="584"/>
      <c r="O1454" s="584"/>
    </row>
    <row r="1455" spans="1:13" ht="17.25" customHeight="1" thickBot="1">
      <c r="A1455" s="185"/>
      <c r="B1455" s="185"/>
      <c r="C1455" s="185"/>
      <c r="D1455" s="185"/>
      <c r="E1455" s="690"/>
      <c r="F1455" s="690"/>
      <c r="G1455" s="690"/>
      <c r="H1455" s="690"/>
      <c r="I1455" s="22"/>
      <c r="J1455" s="271"/>
      <c r="K1455" s="128"/>
      <c r="L1455" s="128"/>
      <c r="M1455" s="244"/>
    </row>
    <row r="1456" spans="1:13" ht="15.75" thickTop="1">
      <c r="A1456" s="276" t="s">
        <v>74</v>
      </c>
      <c r="B1456" s="179"/>
      <c r="C1456" s="1040" t="s">
        <v>789</v>
      </c>
      <c r="D1456" s="1041"/>
      <c r="E1456" s="1038"/>
      <c r="F1456" s="935"/>
      <c r="G1456" s="935"/>
      <c r="H1456" s="935"/>
      <c r="I1456" s="322"/>
      <c r="J1456" s="322"/>
      <c r="K1456" s="531"/>
      <c r="L1456" s="531"/>
      <c r="M1456" s="244"/>
    </row>
    <row r="1457" spans="1:25" ht="15">
      <c r="A1457" s="277"/>
      <c r="B1457" s="180"/>
      <c r="C1457" s="124" t="s">
        <v>144</v>
      </c>
      <c r="D1457" s="125" t="s">
        <v>146</v>
      </c>
      <c r="E1457" s="596"/>
      <c r="F1457" s="593"/>
      <c r="G1457" s="593"/>
      <c r="H1457" s="593"/>
      <c r="I1457" s="17"/>
      <c r="J1457" s="17"/>
      <c r="K1457" s="535"/>
      <c r="L1457" s="535"/>
      <c r="M1457" s="244"/>
      <c r="X1457"/>
      <c r="Y1457"/>
    </row>
    <row r="1458" spans="1:25" ht="15">
      <c r="A1458" s="132" t="s">
        <v>222</v>
      </c>
      <c r="B1458" s="186" t="s">
        <v>223</v>
      </c>
      <c r="C1458" s="8"/>
      <c r="D1458" s="8"/>
      <c r="E1458" s="688"/>
      <c r="F1458" s="689"/>
      <c r="G1458" s="689"/>
      <c r="H1458" s="689"/>
      <c r="I1458" s="3"/>
      <c r="J1458" s="3"/>
      <c r="K1458" s="440"/>
      <c r="L1458" s="440"/>
      <c r="M1458" s="244"/>
      <c r="W1458"/>
      <c r="X1458"/>
      <c r="Y1458"/>
    </row>
    <row r="1459" spans="1:25" ht="15">
      <c r="A1459" s="33" t="s">
        <v>76</v>
      </c>
      <c r="B1459" s="13" t="s">
        <v>224</v>
      </c>
      <c r="C1459" s="4"/>
      <c r="D1459" s="4"/>
      <c r="E1459" s="688"/>
      <c r="F1459" s="689"/>
      <c r="G1459" s="689"/>
      <c r="H1459" s="689"/>
      <c r="I1459" s="3"/>
      <c r="J1459" s="3"/>
      <c r="K1459" s="440"/>
      <c r="L1459" s="440"/>
      <c r="M1459" s="244"/>
      <c r="X1459"/>
      <c r="Y1459"/>
    </row>
    <row r="1460" spans="1:25" ht="15" customHeight="1">
      <c r="A1460" s="40"/>
      <c r="B1460" s="13" t="s">
        <v>560</v>
      </c>
      <c r="C1460" s="4"/>
      <c r="D1460" s="4"/>
      <c r="E1460" s="688"/>
      <c r="F1460" s="689"/>
      <c r="G1460" s="689"/>
      <c r="H1460" s="689"/>
      <c r="I1460" s="3"/>
      <c r="J1460" s="3"/>
      <c r="K1460" s="440"/>
      <c r="L1460" s="440"/>
      <c r="M1460" s="244"/>
      <c r="T1460"/>
      <c r="U1460"/>
      <c r="V1460"/>
      <c r="W1460"/>
      <c r="X1460"/>
      <c r="Y1460"/>
    </row>
    <row r="1461" spans="1:25" ht="16.5" customHeight="1">
      <c r="A1461" s="40"/>
      <c r="B1461" s="13" t="s">
        <v>561</v>
      </c>
      <c r="C1461" s="4"/>
      <c r="D1461" s="4"/>
      <c r="E1461" s="688"/>
      <c r="F1461" s="689"/>
      <c r="G1461" s="689"/>
      <c r="H1461" s="689"/>
      <c r="I1461" s="3"/>
      <c r="J1461" s="3"/>
      <c r="K1461" s="440"/>
      <c r="L1461" s="440"/>
      <c r="M1461" s="244"/>
      <c r="T1461"/>
      <c r="U1461"/>
      <c r="V1461"/>
      <c r="W1461"/>
      <c r="X1461"/>
      <c r="Y1461"/>
    </row>
    <row r="1462" spans="1:25" ht="16.5" customHeight="1">
      <c r="A1462" s="40"/>
      <c r="B1462" s="12" t="s">
        <v>563</v>
      </c>
      <c r="C1462" s="4"/>
      <c r="D1462" s="4"/>
      <c r="E1462" s="688"/>
      <c r="F1462" s="689"/>
      <c r="G1462" s="689"/>
      <c r="H1462" s="689"/>
      <c r="I1462" s="3"/>
      <c r="J1462" s="3"/>
      <c r="K1462" s="440"/>
      <c r="L1462" s="440"/>
      <c r="M1462" s="244"/>
      <c r="T1462"/>
      <c r="U1462"/>
      <c r="V1462"/>
      <c r="W1462"/>
      <c r="X1462"/>
      <c r="Y1462"/>
    </row>
    <row r="1463" spans="1:25" ht="15">
      <c r="A1463" s="40"/>
      <c r="B1463" s="12" t="s">
        <v>225</v>
      </c>
      <c r="C1463" s="4"/>
      <c r="D1463" s="4"/>
      <c r="E1463" s="688"/>
      <c r="F1463" s="689"/>
      <c r="G1463" s="689"/>
      <c r="H1463" s="689"/>
      <c r="I1463" s="3"/>
      <c r="J1463" s="3"/>
      <c r="K1463" s="440"/>
      <c r="L1463" s="440"/>
      <c r="M1463" s="244"/>
      <c r="T1463"/>
      <c r="U1463"/>
      <c r="V1463"/>
      <c r="W1463"/>
      <c r="X1463"/>
      <c r="Y1463"/>
    </row>
    <row r="1464" spans="1:25" ht="15">
      <c r="A1464" s="40"/>
      <c r="B1464" s="12" t="s">
        <v>226</v>
      </c>
      <c r="C1464" s="4"/>
      <c r="D1464" s="4"/>
      <c r="E1464" s="688"/>
      <c r="F1464" s="689"/>
      <c r="G1464" s="689"/>
      <c r="H1464" s="689"/>
      <c r="I1464" s="3"/>
      <c r="J1464" s="3"/>
      <c r="K1464" s="440"/>
      <c r="L1464" s="440"/>
      <c r="M1464" s="244"/>
      <c r="S1464"/>
      <c r="T1464"/>
      <c r="U1464"/>
      <c r="V1464"/>
      <c r="W1464"/>
      <c r="X1464"/>
      <c r="Y1464"/>
    </row>
    <row r="1465" spans="1:25" ht="15">
      <c r="A1465" s="40"/>
      <c r="B1465" s="12" t="s">
        <v>227</v>
      </c>
      <c r="C1465" s="4"/>
      <c r="D1465" s="4"/>
      <c r="E1465" s="688"/>
      <c r="F1465" s="689"/>
      <c r="G1465" s="689"/>
      <c r="H1465" s="689"/>
      <c r="I1465" s="3"/>
      <c r="J1465" s="3"/>
      <c r="K1465" s="440"/>
      <c r="L1465" s="440"/>
      <c r="M1465" s="244"/>
      <c r="U1465"/>
      <c r="V1465"/>
      <c r="W1465"/>
      <c r="X1465"/>
      <c r="Y1465"/>
    </row>
    <row r="1466" spans="1:25" ht="14.25" customHeight="1">
      <c r="A1466" s="40"/>
      <c r="B1466" s="12" t="s">
        <v>228</v>
      </c>
      <c r="C1466" s="4"/>
      <c r="D1466" s="4"/>
      <c r="E1466" s="688"/>
      <c r="F1466" s="689"/>
      <c r="G1466" s="689"/>
      <c r="H1466" s="689"/>
      <c r="I1466" s="3"/>
      <c r="J1466" s="3"/>
      <c r="K1466" s="440"/>
      <c r="L1466" s="440"/>
      <c r="M1466" s="244"/>
      <c r="V1466"/>
      <c r="W1466"/>
      <c r="X1466"/>
      <c r="Y1466"/>
    </row>
    <row r="1467" spans="1:25" ht="14.25" customHeight="1">
      <c r="A1467" s="40"/>
      <c r="B1467" s="12" t="s">
        <v>229</v>
      </c>
      <c r="C1467" s="4"/>
      <c r="D1467" s="4"/>
      <c r="E1467" s="688"/>
      <c r="F1467" s="689"/>
      <c r="G1467" s="689"/>
      <c r="H1467" s="689"/>
      <c r="I1467" s="3"/>
      <c r="J1467" s="3"/>
      <c r="K1467" s="440"/>
      <c r="L1467" s="440"/>
      <c r="M1467" s="18"/>
      <c r="N1467" s="22"/>
      <c r="V1467"/>
      <c r="W1467"/>
      <c r="X1467"/>
      <c r="Y1467"/>
    </row>
    <row r="1468" spans="1:25" ht="14.25" customHeight="1" thickBot="1">
      <c r="A1468" s="104"/>
      <c r="B1468" s="49" t="s">
        <v>230</v>
      </c>
      <c r="C1468" s="7"/>
      <c r="D1468" s="7"/>
      <c r="E1468" s="688"/>
      <c r="F1468" s="689"/>
      <c r="G1468" s="689"/>
      <c r="H1468" s="689"/>
      <c r="I1468" s="3"/>
      <c r="J1468" s="3"/>
      <c r="K1468" s="440"/>
      <c r="L1468" s="440"/>
      <c r="M1468" s="52"/>
      <c r="N1468" s="52"/>
      <c r="V1468"/>
      <c r="W1468"/>
      <c r="X1468"/>
      <c r="Y1468"/>
    </row>
    <row r="1469" spans="1:25" ht="16.5" customHeight="1" thickTop="1">
      <c r="A1469" s="210" t="s">
        <v>562</v>
      </c>
      <c r="B1469" s="51"/>
      <c r="C1469" s="3"/>
      <c r="D1469" s="3"/>
      <c r="E1469" s="3"/>
      <c r="F1469" s="3"/>
      <c r="G1469" s="3"/>
      <c r="H1469" s="3"/>
      <c r="I1469" s="3"/>
      <c r="J1469" s="3"/>
      <c r="K1469" s="128"/>
      <c r="L1469" s="128"/>
      <c r="M1469" s="244"/>
      <c r="V1469"/>
      <c r="W1469"/>
      <c r="X1469"/>
      <c r="Y1469"/>
    </row>
    <row r="1470" spans="1:25" ht="14.25" customHeight="1" thickBot="1">
      <c r="A1470" s="95"/>
      <c r="B1470" s="187"/>
      <c r="C1470" s="2"/>
      <c r="D1470" s="2"/>
      <c r="E1470" s="2"/>
      <c r="F1470" s="2"/>
      <c r="G1470" s="2"/>
      <c r="H1470" s="2"/>
      <c r="I1470" s="2"/>
      <c r="J1470" s="304"/>
      <c r="K1470" s="241"/>
      <c r="L1470" s="241"/>
      <c r="M1470" s="244"/>
      <c r="V1470"/>
      <c r="W1470"/>
      <c r="X1470"/>
      <c r="Y1470"/>
    </row>
    <row r="1471" spans="1:25" ht="17.25" customHeight="1" thickTop="1">
      <c r="A1471" s="1033" t="s">
        <v>74</v>
      </c>
      <c r="B1471" s="1031"/>
      <c r="C1471" s="863" t="s">
        <v>665</v>
      </c>
      <c r="D1471" s="953"/>
      <c r="E1471" s="852" t="s">
        <v>784</v>
      </c>
      <c r="F1471" s="853"/>
      <c r="G1471" s="915" t="s">
        <v>721</v>
      </c>
      <c r="H1471" s="916"/>
      <c r="I1471" s="1018" t="s">
        <v>819</v>
      </c>
      <c r="J1471" s="1019"/>
      <c r="K1471" s="665"/>
      <c r="L1471" s="503"/>
      <c r="M1471" s="244"/>
      <c r="V1471"/>
      <c r="W1471"/>
      <c r="X1471"/>
      <c r="Y1471"/>
    </row>
    <row r="1472" spans="1:25" ht="14.25" customHeight="1">
      <c r="A1472" s="862"/>
      <c r="B1472" s="1032"/>
      <c r="C1472" s="124" t="s">
        <v>144</v>
      </c>
      <c r="D1472" s="124" t="s">
        <v>146</v>
      </c>
      <c r="E1472" s="124" t="s">
        <v>144</v>
      </c>
      <c r="F1472" s="124" t="s">
        <v>146</v>
      </c>
      <c r="G1472" s="124" t="s">
        <v>144</v>
      </c>
      <c r="H1472" s="125" t="s">
        <v>146</v>
      </c>
      <c r="I1472" s="124" t="s">
        <v>144</v>
      </c>
      <c r="J1472" s="125" t="s">
        <v>146</v>
      </c>
      <c r="K1472" s="665"/>
      <c r="L1472" s="503"/>
      <c r="M1472" s="244"/>
      <c r="V1472"/>
      <c r="W1472"/>
      <c r="X1472"/>
      <c r="Y1472"/>
    </row>
    <row r="1473" spans="1:25" ht="16.5" customHeight="1">
      <c r="A1473" s="39" t="s">
        <v>231</v>
      </c>
      <c r="B1473" s="171" t="s">
        <v>45</v>
      </c>
      <c r="C1473" s="744">
        <f>CEILING(145*$Z$1,0.1)</f>
        <v>188.5</v>
      </c>
      <c r="D1473" s="744">
        <f>_xlfn.CEILING.MATH((C1473+25*$Z$1),0.1)</f>
        <v>221</v>
      </c>
      <c r="E1473" s="744">
        <f>CEILING(200*$Z$1,0.1)</f>
        <v>260</v>
      </c>
      <c r="F1473" s="744">
        <f>_xlfn.CEILING.MATH((E1473+25*$Z$1),0.1)</f>
        <v>292.5</v>
      </c>
      <c r="G1473" s="744">
        <f>CEILING(160*$Z$1,0.1)</f>
        <v>208</v>
      </c>
      <c r="H1473" s="744">
        <f>_xlfn.CEILING.MATH((G1473+25*$Z$1),0.1)</f>
        <v>240.5</v>
      </c>
      <c r="I1473" s="744">
        <f>CEILING(145*$Z$1,0.1)</f>
        <v>188.5</v>
      </c>
      <c r="J1473" s="744">
        <f>_xlfn.CEILING.MATH((I1473+25*$Z$1),0.1)</f>
        <v>221</v>
      </c>
      <c r="K1473" s="665"/>
      <c r="L1473" s="503"/>
      <c r="M1473" s="244"/>
      <c r="V1473"/>
      <c r="W1473"/>
      <c r="X1473"/>
      <c r="Y1473"/>
    </row>
    <row r="1474" spans="1:25" ht="16.5" customHeight="1">
      <c r="A1474" s="40" t="s">
        <v>76</v>
      </c>
      <c r="B1474" s="12" t="s">
        <v>46</v>
      </c>
      <c r="C1474" s="744">
        <f>_xlfn.CEILING.MATH((C1473+60*$Z$1),0.1)</f>
        <v>266.5</v>
      </c>
      <c r="D1474" s="762">
        <f>_xlfn.CEILING.MATH((C1474+25*$Z$1),0.1)</f>
        <v>299</v>
      </c>
      <c r="E1474" s="744">
        <f>_xlfn.CEILING.MATH((E1473+60*$Z$1),0.1)</f>
        <v>338</v>
      </c>
      <c r="F1474" s="762">
        <f>_xlfn.CEILING.MATH((E1474+25*$Z$1),0.1)</f>
        <v>370.5</v>
      </c>
      <c r="G1474" s="744">
        <f>_xlfn.CEILING.MATH((G1473+60*$Z$1),0.1)</f>
        <v>286</v>
      </c>
      <c r="H1474" s="762">
        <f>_xlfn.CEILING.MATH((G1474+25*$Z$1),0.1)</f>
        <v>318.5</v>
      </c>
      <c r="I1474" s="744">
        <f>_xlfn.CEILING.MATH((I1473+60*$Z$1),0.1)</f>
        <v>266.5</v>
      </c>
      <c r="J1474" s="762">
        <f>_xlfn.CEILING.MATH((I1474+25*$Z$1),0.1)</f>
        <v>299</v>
      </c>
      <c r="K1474" s="665"/>
      <c r="L1474" s="503"/>
      <c r="M1474" s="244"/>
      <c r="V1474"/>
      <c r="W1474"/>
      <c r="X1474"/>
      <c r="Y1474"/>
    </row>
    <row r="1475" spans="1:25" ht="16.5" customHeight="1">
      <c r="A1475" s="40"/>
      <c r="B1475" s="167" t="s">
        <v>116</v>
      </c>
      <c r="C1475" s="744">
        <f>CEILING((C1473*0.85),0.1)</f>
        <v>160.3</v>
      </c>
      <c r="D1475" s="762">
        <f>_xlfn.CEILING.MATH((C1475+25*$Z$1),0.1)</f>
        <v>192.8</v>
      </c>
      <c r="E1475" s="744">
        <f>CEILING((E1473*0.85),0.1)</f>
        <v>221</v>
      </c>
      <c r="F1475" s="762">
        <f>_xlfn.CEILING.MATH((E1475+25*$Z$1),0.1)</f>
        <v>253.5</v>
      </c>
      <c r="G1475" s="744">
        <f>CEILING((G1473*0.85),0.1)</f>
        <v>176.8</v>
      </c>
      <c r="H1475" s="762">
        <f>_xlfn.CEILING.MATH((G1475+25*$Z$1),0.1)</f>
        <v>209.3</v>
      </c>
      <c r="I1475" s="744">
        <f>CEILING((I1473*0.85),0.1)</f>
        <v>160.3</v>
      </c>
      <c r="J1475" s="762">
        <f>_xlfn.CEILING.MATH((I1475+25*$Z$1),0.1)</f>
        <v>192.8</v>
      </c>
      <c r="K1475" s="506"/>
      <c r="L1475" s="503"/>
      <c r="M1475" s="244"/>
      <c r="V1475"/>
      <c r="W1475"/>
      <c r="X1475"/>
      <c r="Y1475"/>
    </row>
    <row r="1476" spans="1:25" ht="16.5" customHeight="1">
      <c r="A1476" s="40"/>
      <c r="B1476" s="14" t="s">
        <v>47</v>
      </c>
      <c r="C1476" s="744">
        <f>CEILING((C1473*0.5),0.1)</f>
        <v>94.30000000000001</v>
      </c>
      <c r="D1476" s="744">
        <f>CEILING((D1473*0.5),0.1)</f>
        <v>110.5</v>
      </c>
      <c r="E1476" s="744">
        <f aca="true" t="shared" si="24" ref="E1476:J1476">CEILING((E1473*0.5),0.1)</f>
        <v>130</v>
      </c>
      <c r="F1476" s="744">
        <f t="shared" si="24"/>
        <v>146.3</v>
      </c>
      <c r="G1476" s="744">
        <f t="shared" si="24"/>
        <v>104</v>
      </c>
      <c r="H1476" s="744">
        <f t="shared" si="24"/>
        <v>120.30000000000001</v>
      </c>
      <c r="I1476" s="762">
        <f t="shared" si="24"/>
        <v>94.30000000000001</v>
      </c>
      <c r="J1476" s="744">
        <f t="shared" si="24"/>
        <v>110.5</v>
      </c>
      <c r="K1476" s="506"/>
      <c r="L1476" s="128"/>
      <c r="M1476" s="244"/>
      <c r="V1476"/>
      <c r="W1476"/>
      <c r="X1476"/>
      <c r="Y1476"/>
    </row>
    <row r="1477" spans="1:25" ht="17.25" customHeight="1">
      <c r="A1477" s="40"/>
      <c r="B1477" s="14" t="s">
        <v>48</v>
      </c>
      <c r="C1477" s="744">
        <f>_xlfn.CEILING.MATH((C1473+35*$Z$1),0.1)</f>
        <v>234</v>
      </c>
      <c r="D1477" s="770">
        <f>_xlfn.CEILING.MATH((C1477+25*$Z$1),0.1)</f>
        <v>266.5</v>
      </c>
      <c r="E1477" s="744">
        <f>_xlfn.CEILING.MATH((E1473+35*$Z$1),0.1)</f>
        <v>305.5</v>
      </c>
      <c r="F1477" s="770">
        <f>_xlfn.CEILING.MATH((E1477+25*$Z$1),0.1)</f>
        <v>338</v>
      </c>
      <c r="G1477" s="744">
        <f>_xlfn.CEILING.MATH((G1473+35*$Z$1),0.1)</f>
        <v>253.5</v>
      </c>
      <c r="H1477" s="770">
        <f>_xlfn.CEILING.MATH((G1477+25*$Z$1),0.1)</f>
        <v>286</v>
      </c>
      <c r="I1477" s="744">
        <f>_xlfn.CEILING.MATH((I1473+35*$Z$1),0.1)</f>
        <v>234</v>
      </c>
      <c r="J1477" s="770">
        <f aca="true" t="shared" si="25" ref="J1477:J1483">_xlfn.CEILING.MATH((I1477+25*$Z$1),0.1)</f>
        <v>266.5</v>
      </c>
      <c r="K1477" s="506"/>
      <c r="L1477" s="128"/>
      <c r="M1477" s="244"/>
      <c r="V1477"/>
      <c r="W1477"/>
      <c r="X1477"/>
      <c r="Y1477"/>
    </row>
    <row r="1478" spans="1:25" ht="15.75" customHeight="1">
      <c r="A1478" s="40"/>
      <c r="B1478" s="14" t="s">
        <v>49</v>
      </c>
      <c r="C1478" s="744">
        <f>_xlfn.CEILING.MATH((C1477+60*$Z$1),0.1)</f>
        <v>312</v>
      </c>
      <c r="D1478" s="762">
        <f>_xlfn.CEILING.MATH((C1478+25*$Z$1),0.1)</f>
        <v>344.5</v>
      </c>
      <c r="E1478" s="744">
        <f>_xlfn.CEILING.MATH((E1477+60*$Z$1),0.1)</f>
        <v>383.5</v>
      </c>
      <c r="F1478" s="762">
        <f>_xlfn.CEILING.MATH((E1478+25*$Z$1),0.1)</f>
        <v>416</v>
      </c>
      <c r="G1478" s="744">
        <f>_xlfn.CEILING.MATH((G1477+60*$Z$1),0.1)</f>
        <v>331.5</v>
      </c>
      <c r="H1478" s="762">
        <f>_xlfn.CEILING.MATH((G1478+25*$Z$1),0.1)</f>
        <v>364</v>
      </c>
      <c r="I1478" s="744">
        <f>_xlfn.CEILING.MATH((I1477+60*$Z$1),0.1)</f>
        <v>312</v>
      </c>
      <c r="J1478" s="762">
        <f t="shared" si="25"/>
        <v>344.5</v>
      </c>
      <c r="K1478" s="506"/>
      <c r="L1478" s="128"/>
      <c r="M1478" s="244"/>
      <c r="V1478"/>
      <c r="W1478"/>
      <c r="X1478"/>
      <c r="Y1478"/>
    </row>
    <row r="1479" spans="1:25" ht="16.5" customHeight="1">
      <c r="A1479" s="40"/>
      <c r="B1479" s="14" t="s">
        <v>78</v>
      </c>
      <c r="C1479" s="744">
        <f>CEILING((C1477*0.85),0.1)</f>
        <v>198.9</v>
      </c>
      <c r="D1479" s="762">
        <f>_xlfn.CEILING.MATH((C1479+25*$Z$1),0.1)</f>
        <v>231.4</v>
      </c>
      <c r="E1479" s="744">
        <f>CEILING((E1477*0.85),0.1)</f>
        <v>259.7</v>
      </c>
      <c r="F1479" s="762">
        <f>_xlfn.CEILING.MATH((E1479+25*$Z$1),0.1)</f>
        <v>292.2</v>
      </c>
      <c r="G1479" s="744">
        <f>CEILING((G1477*0.85),0.1)</f>
        <v>215.5</v>
      </c>
      <c r="H1479" s="762">
        <f>_xlfn.CEILING.MATH((G1479+25*$Z$1),0.1)</f>
        <v>248</v>
      </c>
      <c r="I1479" s="744">
        <f>CEILING((I1477*0.85),0.1)</f>
        <v>198.9</v>
      </c>
      <c r="J1479" s="762">
        <f t="shared" si="25"/>
        <v>231.4</v>
      </c>
      <c r="K1479" s="506"/>
      <c r="L1479" s="128"/>
      <c r="M1479" s="244"/>
      <c r="V1479"/>
      <c r="W1479"/>
      <c r="X1479"/>
      <c r="Y1479"/>
    </row>
    <row r="1480" spans="1:25" ht="16.5" customHeight="1">
      <c r="A1480" s="40"/>
      <c r="B1480" s="14" t="s">
        <v>47</v>
      </c>
      <c r="C1480" s="744">
        <f>CEILING((C1477*0.5),0.1)</f>
        <v>117</v>
      </c>
      <c r="D1480" s="744">
        <f>CEILING((D1477*0.5),0.1)</f>
        <v>133.3</v>
      </c>
      <c r="E1480" s="744">
        <f aca="true" t="shared" si="26" ref="E1480:J1480">CEILING((E1477*0.5),0.1)</f>
        <v>152.8</v>
      </c>
      <c r="F1480" s="744">
        <f t="shared" si="26"/>
        <v>169</v>
      </c>
      <c r="G1480" s="744">
        <f t="shared" si="26"/>
        <v>126.80000000000001</v>
      </c>
      <c r="H1480" s="744">
        <f t="shared" si="26"/>
        <v>143</v>
      </c>
      <c r="I1480" s="762">
        <f t="shared" si="26"/>
        <v>117</v>
      </c>
      <c r="J1480" s="744">
        <f t="shared" si="26"/>
        <v>133.3</v>
      </c>
      <c r="K1480" s="506"/>
      <c r="L1480" s="128"/>
      <c r="M1480" s="244"/>
      <c r="V1480"/>
      <c r="W1480"/>
      <c r="X1480"/>
      <c r="Y1480"/>
    </row>
    <row r="1481" spans="1:25" ht="15">
      <c r="A1481" s="40"/>
      <c r="B1481" s="14" t="s">
        <v>50</v>
      </c>
      <c r="C1481" s="744">
        <f>_xlfn.CEILING.MATH((C1473+40*$Z$1),0.1)</f>
        <v>240.5</v>
      </c>
      <c r="D1481" s="770">
        <f>_xlfn.CEILING.MATH((C1481+25*$Z$1),0.1)</f>
        <v>273</v>
      </c>
      <c r="E1481" s="744">
        <f>_xlfn.CEILING.MATH((E1473+40*$Z$1),0.1)</f>
        <v>312</v>
      </c>
      <c r="F1481" s="770">
        <f>_xlfn.CEILING.MATH((E1481+25*$Z$1),0.1)</f>
        <v>344.5</v>
      </c>
      <c r="G1481" s="744">
        <f>_xlfn.CEILING.MATH((G1473+40*$Z$1),0.1)</f>
        <v>260</v>
      </c>
      <c r="H1481" s="770">
        <f>_xlfn.CEILING.MATH((G1481+25*$Z$1),0.1)</f>
        <v>292.5</v>
      </c>
      <c r="I1481" s="744">
        <f>_xlfn.CEILING.MATH((I1473+40*$Z$1),0.1)</f>
        <v>240.5</v>
      </c>
      <c r="J1481" s="770">
        <f>_xlfn.CEILING.MATH((I1481+25*$Z$1),0.1)</f>
        <v>273</v>
      </c>
      <c r="K1481" s="506"/>
      <c r="L1481" s="128"/>
      <c r="M1481" s="244"/>
      <c r="V1481"/>
      <c r="W1481"/>
      <c r="X1481"/>
      <c r="Y1481"/>
    </row>
    <row r="1482" spans="1:25" ht="15">
      <c r="A1482" s="40"/>
      <c r="B1482" s="14" t="s">
        <v>51</v>
      </c>
      <c r="C1482" s="744">
        <f>_xlfn.CEILING.MATH((C1481+60*$Z$1),0.1)</f>
        <v>318.5</v>
      </c>
      <c r="D1482" s="762">
        <f>_xlfn.CEILING.MATH((C1482+25*$Z$1),0.1)</f>
        <v>351</v>
      </c>
      <c r="E1482" s="744">
        <f>_xlfn.CEILING.MATH((E1481+60*$Z$1),0.1)</f>
        <v>390</v>
      </c>
      <c r="F1482" s="762">
        <f>_xlfn.CEILING.MATH((E1482+25*$Z$1),0.1)</f>
        <v>422.5</v>
      </c>
      <c r="G1482" s="744">
        <f>_xlfn.CEILING.MATH((G1481+60*$Z$1),0.1)</f>
        <v>338</v>
      </c>
      <c r="H1482" s="762">
        <f>_xlfn.CEILING.MATH((G1482+25*$Z$1),0.1)</f>
        <v>370.5</v>
      </c>
      <c r="I1482" s="744">
        <f>_xlfn.CEILING.MATH((I1481+60*$Z$1),0.1)</f>
        <v>318.5</v>
      </c>
      <c r="J1482" s="762">
        <f t="shared" si="25"/>
        <v>351</v>
      </c>
      <c r="K1482" s="506"/>
      <c r="L1482" s="128"/>
      <c r="M1482" s="244"/>
      <c r="V1482"/>
      <c r="W1482"/>
      <c r="X1482"/>
      <c r="Y1482"/>
    </row>
    <row r="1483" spans="1:25" ht="15">
      <c r="A1483" s="40"/>
      <c r="B1483" s="14" t="s">
        <v>78</v>
      </c>
      <c r="C1483" s="744">
        <f>CEILING((C1481*0.85),0.1)</f>
        <v>204.5</v>
      </c>
      <c r="D1483" s="762">
        <f>_xlfn.CEILING.MATH((C1483+25*$Z$1),0.1)</f>
        <v>237</v>
      </c>
      <c r="E1483" s="744">
        <f>CEILING((E1481*0.85),0.1)</f>
        <v>265.2</v>
      </c>
      <c r="F1483" s="762">
        <f>_xlfn.CEILING.MATH((E1483+25*$Z$1),0.1)</f>
        <v>297.7</v>
      </c>
      <c r="G1483" s="744">
        <f>CEILING((G1481*0.85),0.1)</f>
        <v>221</v>
      </c>
      <c r="H1483" s="762">
        <f>_xlfn.CEILING.MATH((G1483+25*$Z$1),0.1)</f>
        <v>253.5</v>
      </c>
      <c r="I1483" s="744">
        <f>CEILING((I1481*0.85),0.1)</f>
        <v>204.5</v>
      </c>
      <c r="J1483" s="762">
        <f t="shared" si="25"/>
        <v>237</v>
      </c>
      <c r="K1483" s="506"/>
      <c r="L1483" s="128"/>
      <c r="M1483" s="244"/>
      <c r="X1483"/>
      <c r="Y1483"/>
    </row>
    <row r="1484" spans="1:13" ht="15">
      <c r="A1484" s="40"/>
      <c r="B1484" s="14" t="s">
        <v>47</v>
      </c>
      <c r="C1484" s="744">
        <f>CEILING((C1481*0.5),0.1)</f>
        <v>120.30000000000001</v>
      </c>
      <c r="D1484" s="744">
        <f>CEILING((D1481*0.5),0.1)</f>
        <v>136.5</v>
      </c>
      <c r="E1484" s="744">
        <f aca="true" t="shared" si="27" ref="E1484:J1484">CEILING((E1481*0.5),0.1)</f>
        <v>156</v>
      </c>
      <c r="F1484" s="744">
        <f t="shared" si="27"/>
        <v>172.3</v>
      </c>
      <c r="G1484" s="744">
        <f t="shared" si="27"/>
        <v>130</v>
      </c>
      <c r="H1484" s="744">
        <f t="shared" si="27"/>
        <v>146.3</v>
      </c>
      <c r="I1484" s="762">
        <f t="shared" si="27"/>
        <v>120.30000000000001</v>
      </c>
      <c r="J1484" s="744">
        <f t="shared" si="27"/>
        <v>136.5</v>
      </c>
      <c r="K1484" s="506"/>
      <c r="L1484" s="128"/>
      <c r="M1484" s="244"/>
    </row>
    <row r="1485" spans="1:13" ht="15">
      <c r="A1485" s="40"/>
      <c r="B1485" s="14" t="s">
        <v>52</v>
      </c>
      <c r="C1485" s="744">
        <f>_xlfn.CEILING.MATH((C1473+15*$Z$1),0.1)</f>
        <v>208</v>
      </c>
      <c r="D1485" s="770">
        <f aca="true" t="shared" si="28" ref="D1485:D1496">_xlfn.CEILING.MATH((C1485+25*$Z$1),0.1)</f>
        <v>240.5</v>
      </c>
      <c r="E1485" s="744">
        <f>_xlfn.CEILING.MATH((E1473+15*$Z$1),0.1)</f>
        <v>279.5</v>
      </c>
      <c r="F1485" s="770">
        <f aca="true" t="shared" si="29" ref="F1485:F1496">_xlfn.CEILING.MATH((E1485+25*$Z$1),0.1)</f>
        <v>312</v>
      </c>
      <c r="G1485" s="744">
        <f>_xlfn.CEILING.MATH((G1473+15*$Z$1),0.1)</f>
        <v>227.5</v>
      </c>
      <c r="H1485" s="770">
        <f aca="true" t="shared" si="30" ref="H1485:H1496">_xlfn.CEILING.MATH((G1485+25*$Z$1),0.1)</f>
        <v>260</v>
      </c>
      <c r="I1485" s="744">
        <f>_xlfn.CEILING.MATH((I1473+15*$Z$1),0.1)</f>
        <v>208</v>
      </c>
      <c r="J1485" s="770">
        <f>_xlfn.CEILING.MATH((I1485+25*$Z$1),0.1)</f>
        <v>240.5</v>
      </c>
      <c r="K1485" s="506"/>
      <c r="L1485" s="128"/>
      <c r="M1485" s="244"/>
    </row>
    <row r="1486" spans="1:13" ht="15">
      <c r="A1486" s="40"/>
      <c r="B1486" s="14" t="s">
        <v>53</v>
      </c>
      <c r="C1486" s="744">
        <f>_xlfn.CEILING.MATH((C1485+60*$Z$1),0.1)</f>
        <v>286</v>
      </c>
      <c r="D1486" s="762">
        <f t="shared" si="28"/>
        <v>318.5</v>
      </c>
      <c r="E1486" s="744">
        <f>_xlfn.CEILING.MATH((E1485+60*$Z$1),0.1)</f>
        <v>357.5</v>
      </c>
      <c r="F1486" s="762">
        <f t="shared" si="29"/>
        <v>390</v>
      </c>
      <c r="G1486" s="744">
        <f>_xlfn.CEILING.MATH((G1485+60*$Z$1),0.1)</f>
        <v>305.5</v>
      </c>
      <c r="H1486" s="762">
        <f t="shared" si="30"/>
        <v>338</v>
      </c>
      <c r="I1486" s="744">
        <f>_xlfn.CEILING.MATH((I1485+60*$Z$1),0.1)</f>
        <v>286</v>
      </c>
      <c r="J1486" s="762">
        <f aca="true" t="shared" si="31" ref="J1486:J1496">_xlfn.CEILING.MATH((I1486+25*$Z$1),0.1)</f>
        <v>318.5</v>
      </c>
      <c r="K1486" s="506"/>
      <c r="L1486" s="128"/>
      <c r="M1486" s="244"/>
    </row>
    <row r="1487" spans="1:13" ht="15">
      <c r="A1487" s="40"/>
      <c r="B1487" s="14" t="s">
        <v>54</v>
      </c>
      <c r="C1487" s="744">
        <f>_xlfn.CEILING.MATH((C1473+45*$Z$1),0.1)</f>
        <v>247</v>
      </c>
      <c r="D1487" s="770">
        <f t="shared" si="28"/>
        <v>279.5</v>
      </c>
      <c r="E1487" s="744">
        <f>_xlfn.CEILING.MATH((E1473+45*$Z$1),0.1)</f>
        <v>318.5</v>
      </c>
      <c r="F1487" s="770">
        <f t="shared" si="29"/>
        <v>351</v>
      </c>
      <c r="G1487" s="744">
        <f>_xlfn.CEILING.MATH((G1473+45*$Z$1),0.1)</f>
        <v>266.5</v>
      </c>
      <c r="H1487" s="770">
        <f t="shared" si="30"/>
        <v>299</v>
      </c>
      <c r="I1487" s="744">
        <f>_xlfn.CEILING.MATH((I1473+45*$Z$1),0.1)</f>
        <v>247</v>
      </c>
      <c r="J1487" s="770">
        <f>_xlfn.CEILING.MATH((I1487+25*$Z$1),0.1)</f>
        <v>279.5</v>
      </c>
      <c r="K1487" s="506"/>
      <c r="L1487" s="128"/>
      <c r="M1487" s="244"/>
    </row>
    <row r="1488" spans="1:13" ht="15.75" customHeight="1">
      <c r="A1488" s="40"/>
      <c r="B1488" s="14" t="s">
        <v>55</v>
      </c>
      <c r="C1488" s="744">
        <f>_xlfn.CEILING.MATH((C1487+60*$Z$1),0.1)</f>
        <v>325</v>
      </c>
      <c r="D1488" s="762">
        <f t="shared" si="28"/>
        <v>357.5</v>
      </c>
      <c r="E1488" s="744">
        <f>_xlfn.CEILING.MATH((E1487+60*$Z$1),0.1)</f>
        <v>396.5</v>
      </c>
      <c r="F1488" s="762">
        <f t="shared" si="29"/>
        <v>429</v>
      </c>
      <c r="G1488" s="744">
        <f>_xlfn.CEILING.MATH((G1487+60*$Z$1),0.1)</f>
        <v>344.5</v>
      </c>
      <c r="H1488" s="762">
        <f t="shared" si="30"/>
        <v>377</v>
      </c>
      <c r="I1488" s="744">
        <f>_xlfn.CEILING.MATH((I1487+60*$Z$1),0.1)</f>
        <v>325</v>
      </c>
      <c r="J1488" s="762">
        <f t="shared" si="31"/>
        <v>357.5</v>
      </c>
      <c r="K1488" s="506"/>
      <c r="L1488" s="128"/>
      <c r="M1488" s="244"/>
    </row>
    <row r="1489" spans="1:13" ht="15" customHeight="1">
      <c r="A1489" s="40"/>
      <c r="B1489" s="14" t="s">
        <v>56</v>
      </c>
      <c r="C1489" s="744">
        <f>_xlfn.CEILING.MATH((C1473+50*$Z$1),0.1)</f>
        <v>253.5</v>
      </c>
      <c r="D1489" s="770">
        <f t="shared" si="28"/>
        <v>286</v>
      </c>
      <c r="E1489" s="744">
        <f>_xlfn.CEILING.MATH((E1473+50*$Z$1),0.1)</f>
        <v>325</v>
      </c>
      <c r="F1489" s="770">
        <f t="shared" si="29"/>
        <v>357.5</v>
      </c>
      <c r="G1489" s="744">
        <f>_xlfn.CEILING.MATH((G1473+50*$Z$1),0.1)</f>
        <v>273</v>
      </c>
      <c r="H1489" s="770">
        <f t="shared" si="30"/>
        <v>305.5</v>
      </c>
      <c r="I1489" s="744">
        <f>_xlfn.CEILING.MATH((I1473+50*$Z$1),0.1)</f>
        <v>253.5</v>
      </c>
      <c r="J1489" s="770">
        <f>_xlfn.CEILING.MATH((I1489+25*$Z$1),0.1)</f>
        <v>286</v>
      </c>
      <c r="K1489" s="506"/>
      <c r="L1489" s="128"/>
      <c r="M1489" s="244"/>
    </row>
    <row r="1490" spans="1:13" ht="15.75" customHeight="1">
      <c r="A1490" s="40"/>
      <c r="B1490" s="14" t="s">
        <v>57</v>
      </c>
      <c r="C1490" s="744">
        <f>_xlfn.CEILING.MATH((C1489+60*$Z$1),0.1)</f>
        <v>331.5</v>
      </c>
      <c r="D1490" s="762">
        <f t="shared" si="28"/>
        <v>364</v>
      </c>
      <c r="E1490" s="744">
        <f>_xlfn.CEILING.MATH((E1489+60*$Z$1),0.1)</f>
        <v>403</v>
      </c>
      <c r="F1490" s="762">
        <f t="shared" si="29"/>
        <v>435.5</v>
      </c>
      <c r="G1490" s="744">
        <f>_xlfn.CEILING.MATH((G1489+60*$Z$1),0.1)</f>
        <v>351</v>
      </c>
      <c r="H1490" s="762">
        <f t="shared" si="30"/>
        <v>383.5</v>
      </c>
      <c r="I1490" s="744">
        <f>_xlfn.CEILING.MATH((I1489+60*$Z$1),0.1)</f>
        <v>331.5</v>
      </c>
      <c r="J1490" s="762">
        <f t="shared" si="31"/>
        <v>364</v>
      </c>
      <c r="K1490" s="506"/>
      <c r="L1490" s="128"/>
      <c r="M1490" s="244"/>
    </row>
    <row r="1491" spans="1:13" ht="15.75" customHeight="1">
      <c r="A1491" s="40"/>
      <c r="B1491" s="14" t="s">
        <v>58</v>
      </c>
      <c r="C1491" s="744">
        <f>_xlfn.CEILING.MATH((C1473+30*$Z$1),0.1)</f>
        <v>227.5</v>
      </c>
      <c r="D1491" s="770">
        <f t="shared" si="28"/>
        <v>260</v>
      </c>
      <c r="E1491" s="744">
        <f>_xlfn.CEILING.MATH((E1473+30*$Z$1),0.1)</f>
        <v>299</v>
      </c>
      <c r="F1491" s="770">
        <f t="shared" si="29"/>
        <v>331.5</v>
      </c>
      <c r="G1491" s="744">
        <f>_xlfn.CEILING.MATH((G1473+30*$Z$1),0.1)</f>
        <v>247</v>
      </c>
      <c r="H1491" s="770">
        <f t="shared" si="30"/>
        <v>279.5</v>
      </c>
      <c r="I1491" s="744">
        <f>_xlfn.CEILING.MATH((I1473+30*$Z$1),0.1)</f>
        <v>227.5</v>
      </c>
      <c r="J1491" s="770">
        <f>_xlfn.CEILING.MATH((I1491+25*$Z$1),0.1)</f>
        <v>260</v>
      </c>
      <c r="K1491" s="506"/>
      <c r="L1491" s="128"/>
      <c r="M1491" s="244"/>
    </row>
    <row r="1492" spans="1:13" ht="15.75" customHeight="1">
      <c r="A1492" s="40"/>
      <c r="B1492" s="14" t="s">
        <v>59</v>
      </c>
      <c r="C1492" s="744">
        <f>_xlfn.CEILING.MATH((C1491+60*$Z$1),0.1)</f>
        <v>305.5</v>
      </c>
      <c r="D1492" s="762">
        <f t="shared" si="28"/>
        <v>338</v>
      </c>
      <c r="E1492" s="744">
        <f>_xlfn.CEILING.MATH((E1491+60*$Z$1),0.1)</f>
        <v>377</v>
      </c>
      <c r="F1492" s="762">
        <f t="shared" si="29"/>
        <v>409.5</v>
      </c>
      <c r="G1492" s="744">
        <f>_xlfn.CEILING.MATH((G1491+60*$Z$1),0.1)</f>
        <v>325</v>
      </c>
      <c r="H1492" s="762">
        <f t="shared" si="30"/>
        <v>357.5</v>
      </c>
      <c r="I1492" s="744">
        <f>_xlfn.CEILING.MATH((I1491+60*$Z$1),0.1)</f>
        <v>305.5</v>
      </c>
      <c r="J1492" s="762">
        <f t="shared" si="31"/>
        <v>338</v>
      </c>
      <c r="K1492" s="506"/>
      <c r="L1492" s="128"/>
      <c r="M1492" s="244"/>
    </row>
    <row r="1493" spans="1:13" ht="15">
      <c r="A1493" s="40"/>
      <c r="B1493" s="14" t="s">
        <v>60</v>
      </c>
      <c r="C1493" s="744">
        <f>_xlfn.CEILING.MATH((C1473+60*$Z$1),0.1)</f>
        <v>266.5</v>
      </c>
      <c r="D1493" s="770">
        <f t="shared" si="28"/>
        <v>299</v>
      </c>
      <c r="E1493" s="744">
        <f>_xlfn.CEILING.MATH((E1473+60*$Z$1),0.1)</f>
        <v>338</v>
      </c>
      <c r="F1493" s="770">
        <f t="shared" si="29"/>
        <v>370.5</v>
      </c>
      <c r="G1493" s="744">
        <f>_xlfn.CEILING.MATH((G1473+60*$Z$1),0.1)</f>
        <v>286</v>
      </c>
      <c r="H1493" s="770">
        <f t="shared" si="30"/>
        <v>318.5</v>
      </c>
      <c r="I1493" s="744">
        <f>_xlfn.CEILING.MATH((I1473+60*$Z$1),0.1)</f>
        <v>266.5</v>
      </c>
      <c r="J1493" s="770">
        <f>_xlfn.CEILING.MATH((I1493+25*$Z$1),0.1)</f>
        <v>299</v>
      </c>
      <c r="K1493" s="506"/>
      <c r="L1493" s="128"/>
      <c r="M1493" s="244"/>
    </row>
    <row r="1494" spans="1:13" ht="15">
      <c r="A1494" s="40"/>
      <c r="B1494" s="14" t="s">
        <v>61</v>
      </c>
      <c r="C1494" s="744">
        <f>_xlfn.CEILING.MATH((C1493+60*$Z$1),0.1)</f>
        <v>344.5</v>
      </c>
      <c r="D1494" s="762">
        <f t="shared" si="28"/>
        <v>377</v>
      </c>
      <c r="E1494" s="744">
        <f>_xlfn.CEILING.MATH((E1493+60*$Z$1),0.1)</f>
        <v>416</v>
      </c>
      <c r="F1494" s="762">
        <f t="shared" si="29"/>
        <v>448.5</v>
      </c>
      <c r="G1494" s="744">
        <f>_xlfn.CEILING.MATH((G1493+60*$Z$1),0.1)</f>
        <v>364</v>
      </c>
      <c r="H1494" s="762">
        <f t="shared" si="30"/>
        <v>396.5</v>
      </c>
      <c r="I1494" s="744">
        <f>_xlfn.CEILING.MATH((I1493+60*$Z$1),0.1)</f>
        <v>344.5</v>
      </c>
      <c r="J1494" s="762">
        <f t="shared" si="31"/>
        <v>377</v>
      </c>
      <c r="K1494" s="506"/>
      <c r="L1494" s="128"/>
      <c r="M1494" s="244"/>
    </row>
    <row r="1495" spans="1:14" ht="15">
      <c r="A1495" s="40"/>
      <c r="B1495" s="14" t="s">
        <v>62</v>
      </c>
      <c r="C1495" s="744">
        <f>_xlfn.CEILING.MATH((C1473+65*$Z$1),0.1)</f>
        <v>273</v>
      </c>
      <c r="D1495" s="770">
        <f t="shared" si="28"/>
        <v>305.5</v>
      </c>
      <c r="E1495" s="744">
        <f>_xlfn.CEILING.MATH((E1473+65*$Z$1),0.1)</f>
        <v>344.5</v>
      </c>
      <c r="F1495" s="770">
        <f t="shared" si="29"/>
        <v>377</v>
      </c>
      <c r="G1495" s="744">
        <f>_xlfn.CEILING.MATH((G1473+65*$Z$1),0.1)</f>
        <v>292.5</v>
      </c>
      <c r="H1495" s="770">
        <f t="shared" si="30"/>
        <v>325</v>
      </c>
      <c r="I1495" s="744">
        <f>_xlfn.CEILING.MATH((I1473+65*$Z$1),0.1)</f>
        <v>273</v>
      </c>
      <c r="J1495" s="770">
        <f>_xlfn.CEILING.MATH((I1495+25*$Z$1),0.1)</f>
        <v>305.5</v>
      </c>
      <c r="K1495" s="506"/>
      <c r="L1495" s="128"/>
      <c r="M1495" s="18"/>
      <c r="N1495" s="22"/>
    </row>
    <row r="1496" spans="1:14" ht="15">
      <c r="A1496" s="40"/>
      <c r="B1496" s="14" t="s">
        <v>63</v>
      </c>
      <c r="C1496" s="744">
        <f>_xlfn.CEILING.MATH((C1495+60*$Z$1),0.1)</f>
        <v>351</v>
      </c>
      <c r="D1496" s="762">
        <f t="shared" si="28"/>
        <v>383.5</v>
      </c>
      <c r="E1496" s="744">
        <f>_xlfn.CEILING.MATH((E1495+60*$Z$1),0.1)</f>
        <v>422.5</v>
      </c>
      <c r="F1496" s="762">
        <f t="shared" si="29"/>
        <v>455</v>
      </c>
      <c r="G1496" s="744">
        <f>_xlfn.CEILING.MATH((G1495+60*$Z$1),0.1)</f>
        <v>370.5</v>
      </c>
      <c r="H1496" s="762">
        <f t="shared" si="30"/>
        <v>403</v>
      </c>
      <c r="I1496" s="744">
        <f>_xlfn.CEILING.MATH((I1495+60*$Z$1),0.1)</f>
        <v>351</v>
      </c>
      <c r="J1496" s="762">
        <f t="shared" si="31"/>
        <v>383.5</v>
      </c>
      <c r="K1496" s="506"/>
      <c r="L1496" s="128"/>
      <c r="M1496" s="18"/>
      <c r="N1496" s="22"/>
    </row>
    <row r="1497" spans="1:14" ht="15.75" thickBot="1">
      <c r="A1497" s="104" t="s">
        <v>889</v>
      </c>
      <c r="B1497" s="14" t="s">
        <v>490</v>
      </c>
      <c r="C1497" s="779">
        <f>CEILING(1200*$Z$1,0.1)</f>
        <v>1560</v>
      </c>
      <c r="D1497" s="762"/>
      <c r="E1497" s="779">
        <f>CEILING(1200*$Z$1,0.1)</f>
        <v>1560</v>
      </c>
      <c r="F1497" s="762"/>
      <c r="G1497" s="779">
        <f>CEILING(1200*$Z$1,0.1)</f>
        <v>1560</v>
      </c>
      <c r="H1497" s="780"/>
      <c r="I1497" s="763">
        <f>CEILING(1200*$Z$1,0.1)</f>
        <v>1560</v>
      </c>
      <c r="J1497" s="7"/>
      <c r="K1497" s="506"/>
      <c r="L1497" s="128"/>
      <c r="M1497" s="22"/>
      <c r="N1497" s="22"/>
    </row>
    <row r="1498" spans="1:14" ht="15.75" thickTop="1">
      <c r="A1498" s="283" t="s">
        <v>822</v>
      </c>
      <c r="B1498" s="284"/>
      <c r="C1498" s="284"/>
      <c r="D1498" s="284"/>
      <c r="E1498" s="284"/>
      <c r="F1498" s="284"/>
      <c r="G1498" s="284"/>
      <c r="H1498" s="222"/>
      <c r="I1498" s="222"/>
      <c r="K1498" s="502"/>
      <c r="L1498" s="128"/>
      <c r="M1498" s="22"/>
      <c r="N1498" s="22"/>
    </row>
    <row r="1499" spans="1:14" ht="15">
      <c r="A1499" s="987" t="s">
        <v>491</v>
      </c>
      <c r="B1499" s="987"/>
      <c r="C1499" s="987"/>
      <c r="D1499" s="987"/>
      <c r="E1499" s="987"/>
      <c r="F1499" s="987"/>
      <c r="G1499" s="987"/>
      <c r="H1499" s="987"/>
      <c r="I1499" s="987"/>
      <c r="J1499" s="987"/>
      <c r="K1499" s="128"/>
      <c r="L1499" s="502"/>
      <c r="M1499" s="18"/>
      <c r="N1499" s="22"/>
    </row>
    <row r="1500" spans="1:25" s="724" customFormat="1" ht="15">
      <c r="A1500" s="144" t="s">
        <v>823</v>
      </c>
      <c r="B1500" s="20"/>
      <c r="C1500" s="20"/>
      <c r="D1500" s="20"/>
      <c r="E1500" s="20"/>
      <c r="F1500" s="20"/>
      <c r="G1500" s="20"/>
      <c r="H1500" s="20"/>
      <c r="I1500" s="20"/>
      <c r="J1500" s="20"/>
      <c r="K1500" s="128"/>
      <c r="L1500" s="502"/>
      <c r="M1500" s="18"/>
      <c r="N1500" s="22"/>
      <c r="O1500" s="244"/>
      <c r="P1500" s="244"/>
      <c r="Q1500" s="244"/>
      <c r="R1500" s="244"/>
      <c r="S1500" s="244"/>
      <c r="T1500" s="244"/>
      <c r="U1500" s="244"/>
      <c r="V1500" s="244"/>
      <c r="W1500" s="244"/>
      <c r="X1500" s="244"/>
      <c r="Y1500" s="244"/>
    </row>
    <row r="1501" spans="1:25" s="724" customFormat="1" ht="15">
      <c r="A1501" s="144" t="s">
        <v>824</v>
      </c>
      <c r="B1501" s="20"/>
      <c r="C1501" s="20"/>
      <c r="D1501" s="20"/>
      <c r="E1501" s="20"/>
      <c r="F1501" s="20"/>
      <c r="G1501" s="20"/>
      <c r="H1501" s="20"/>
      <c r="I1501" s="20"/>
      <c r="J1501" s="20"/>
      <c r="K1501" s="128"/>
      <c r="L1501" s="502"/>
      <c r="M1501" s="18"/>
      <c r="N1501" s="22"/>
      <c r="O1501" s="244"/>
      <c r="P1501" s="244"/>
      <c r="Q1501" s="244"/>
      <c r="R1501" s="244"/>
      <c r="S1501" s="244"/>
      <c r="T1501" s="244"/>
      <c r="U1501" s="244"/>
      <c r="V1501" s="244"/>
      <c r="W1501" s="244"/>
      <c r="X1501" s="244"/>
      <c r="Y1501" s="244"/>
    </row>
    <row r="1502" spans="1:14" ht="15.75" thickBot="1">
      <c r="A1502" s="430"/>
      <c r="B1502" s="188"/>
      <c r="C1502" s="188"/>
      <c r="D1502" s="188"/>
      <c r="E1502" s="189"/>
      <c r="F1502" s="189"/>
      <c r="G1502" s="189"/>
      <c r="H1502" s="189"/>
      <c r="I1502" s="189"/>
      <c r="J1502" s="22"/>
      <c r="K1502" s="128"/>
      <c r="L1502" s="128"/>
      <c r="M1502" s="18"/>
      <c r="N1502" s="22"/>
    </row>
    <row r="1503" spans="1:14" ht="15.75" thickTop="1">
      <c r="A1503" s="949"/>
      <c r="B1503" s="1037"/>
      <c r="C1503" s="1035" t="s">
        <v>789</v>
      </c>
      <c r="D1503" s="1036"/>
      <c r="E1503" s="979"/>
      <c r="F1503" s="980"/>
      <c r="G1503" s="980"/>
      <c r="H1503" s="980"/>
      <c r="I1503" s="783"/>
      <c r="J1503" s="784"/>
      <c r="K1503" s="128"/>
      <c r="L1503" s="502"/>
      <c r="M1503" s="18"/>
      <c r="N1503" s="22"/>
    </row>
    <row r="1504" spans="1:25" ht="15">
      <c r="A1504" s="950"/>
      <c r="B1504" s="978"/>
      <c r="C1504" s="249" t="s">
        <v>144</v>
      </c>
      <c r="D1504" s="296" t="s">
        <v>146</v>
      </c>
      <c r="E1504" s="596"/>
      <c r="F1504" s="593"/>
      <c r="G1504" s="593"/>
      <c r="H1504" s="593"/>
      <c r="I1504" s="593"/>
      <c r="J1504" s="593"/>
      <c r="K1504" s="128"/>
      <c r="L1504" s="502"/>
      <c r="M1504" s="18"/>
      <c r="N1504" s="22"/>
      <c r="V1504"/>
      <c r="W1504"/>
      <c r="X1504"/>
      <c r="Y1504"/>
    </row>
    <row r="1505" spans="1:25" ht="15">
      <c r="A1505" s="59" t="s">
        <v>233</v>
      </c>
      <c r="B1505" s="171" t="s">
        <v>82</v>
      </c>
      <c r="C1505" s="744">
        <f>CEILING(119*$Z$1,0.1)</f>
        <v>154.70000000000002</v>
      </c>
      <c r="D1505" s="8"/>
      <c r="E1505" s="740"/>
      <c r="F1505" s="741"/>
      <c r="G1505" s="741"/>
      <c r="H1505" s="741"/>
      <c r="I1505" s="741"/>
      <c r="J1505" s="741"/>
      <c r="K1505" s="128"/>
      <c r="L1505" s="502"/>
      <c r="M1505" s="18"/>
      <c r="N1505" s="22"/>
      <c r="V1505"/>
      <c r="W1505"/>
      <c r="X1505"/>
      <c r="Y1505"/>
    </row>
    <row r="1506" spans="1:25" ht="33" customHeight="1">
      <c r="A1506" s="821" t="s">
        <v>234</v>
      </c>
      <c r="B1506" s="12" t="s">
        <v>83</v>
      </c>
      <c r="C1506" s="744">
        <f>CEILING(207*$Z$1,0.1)</f>
        <v>269.1</v>
      </c>
      <c r="D1506" s="4"/>
      <c r="E1506" s="740"/>
      <c r="F1506" s="741"/>
      <c r="G1506" s="741"/>
      <c r="H1506" s="741"/>
      <c r="I1506" s="741"/>
      <c r="J1506" s="741"/>
      <c r="K1506" s="128"/>
      <c r="L1506" s="502"/>
      <c r="M1506" s="18"/>
      <c r="N1506" s="22"/>
      <c r="V1506"/>
      <c r="W1506"/>
      <c r="X1506"/>
      <c r="Y1506"/>
    </row>
    <row r="1507" spans="1:25" ht="18" customHeight="1">
      <c r="A1507" s="254" t="s">
        <v>237</v>
      </c>
      <c r="B1507" s="167" t="s">
        <v>116</v>
      </c>
      <c r="C1507" s="744">
        <f>CEILING((C1505*0.85),0.1)</f>
        <v>131.5</v>
      </c>
      <c r="D1507" s="4"/>
      <c r="E1507" s="740"/>
      <c r="F1507" s="741"/>
      <c r="G1507" s="741"/>
      <c r="H1507" s="741"/>
      <c r="I1507" s="741"/>
      <c r="J1507" s="741"/>
      <c r="K1507" s="128"/>
      <c r="L1507" s="502"/>
      <c r="M1507" s="18"/>
      <c r="N1507" s="22"/>
      <c r="V1507"/>
      <c r="W1507"/>
      <c r="X1507"/>
      <c r="Y1507"/>
    </row>
    <row r="1508" spans="1:25" ht="21" customHeight="1">
      <c r="A1508" s="254" t="s">
        <v>790</v>
      </c>
      <c r="B1508" s="14" t="s">
        <v>232</v>
      </c>
      <c r="C1508" s="744">
        <f>CEILING((C1505*0.5),0.1)</f>
        <v>77.4</v>
      </c>
      <c r="D1508" s="4"/>
      <c r="E1508" s="740"/>
      <c r="F1508" s="741"/>
      <c r="G1508" s="741"/>
      <c r="H1508" s="741"/>
      <c r="I1508" s="741"/>
      <c r="J1508" s="741"/>
      <c r="K1508" s="128"/>
      <c r="L1508" s="502"/>
      <c r="M1508" s="22"/>
      <c r="N1508" s="22"/>
      <c r="V1508"/>
      <c r="W1508"/>
      <c r="X1508"/>
      <c r="Y1508"/>
    </row>
    <row r="1509" spans="1:25" ht="21" customHeight="1">
      <c r="A1509" s="254" t="s">
        <v>239</v>
      </c>
      <c r="B1509" s="12" t="s">
        <v>334</v>
      </c>
      <c r="C1509" s="779">
        <f>CEILING(141*$Z$1,0.1)</f>
        <v>183.3</v>
      </c>
      <c r="D1509" s="4"/>
      <c r="E1509" s="740"/>
      <c r="F1509" s="741"/>
      <c r="G1509" s="741"/>
      <c r="H1509" s="741"/>
      <c r="I1509" s="741"/>
      <c r="J1509" s="741"/>
      <c r="K1509" s="128"/>
      <c r="L1509" s="502"/>
      <c r="M1509" s="22"/>
      <c r="N1509" s="22"/>
      <c r="V1509"/>
      <c r="W1509"/>
      <c r="X1509"/>
      <c r="Y1509"/>
    </row>
    <row r="1510" spans="1:25" ht="22.5" customHeight="1">
      <c r="A1510" s="78" t="s">
        <v>241</v>
      </c>
      <c r="B1510" s="13" t="s">
        <v>335</v>
      </c>
      <c r="C1510" s="744">
        <f>CEILING(228*$Z$1,0.1)</f>
        <v>296.40000000000003</v>
      </c>
      <c r="D1510" s="4"/>
      <c r="E1510" s="740"/>
      <c r="F1510" s="741"/>
      <c r="G1510" s="741"/>
      <c r="H1510" s="741"/>
      <c r="I1510" s="741"/>
      <c r="J1510" s="741"/>
      <c r="K1510" s="128"/>
      <c r="L1510" s="502"/>
      <c r="M1510" s="22"/>
      <c r="N1510" s="22"/>
      <c r="R1510" s="439"/>
      <c r="S1510" s="439"/>
      <c r="V1510"/>
      <c r="W1510"/>
      <c r="X1510"/>
      <c r="Y1510"/>
    </row>
    <row r="1511" spans="1:25" ht="22.5" customHeight="1">
      <c r="A1511" s="78" t="s">
        <v>332</v>
      </c>
      <c r="B1511" s="12" t="s">
        <v>94</v>
      </c>
      <c r="C1511" s="762">
        <f>CEILING(158*$Z$1,0.1)</f>
        <v>205.4</v>
      </c>
      <c r="D1511" s="4"/>
      <c r="E1511" s="740"/>
      <c r="F1511" s="741"/>
      <c r="G1511" s="741"/>
      <c r="H1511" s="741"/>
      <c r="I1511" s="741"/>
      <c r="J1511" s="741"/>
      <c r="K1511" s="128"/>
      <c r="L1511" s="128"/>
      <c r="M1511" s="22"/>
      <c r="R1511" s="17"/>
      <c r="S1511" s="17"/>
      <c r="V1511"/>
      <c r="W1511"/>
      <c r="X1511"/>
      <c r="Y1511"/>
    </row>
    <row r="1512" spans="1:25" ht="18" customHeight="1" thickBot="1">
      <c r="A1512" s="104" t="s">
        <v>888</v>
      </c>
      <c r="B1512" s="49" t="s">
        <v>95</v>
      </c>
      <c r="C1512" s="771">
        <f>CEILING(246*$Z$1,0.1)</f>
        <v>319.8</v>
      </c>
      <c r="D1512" s="7"/>
      <c r="E1512" s="740"/>
      <c r="F1512" s="741"/>
      <c r="G1512" s="741"/>
      <c r="H1512" s="741"/>
      <c r="I1512" s="741"/>
      <c r="J1512" s="741"/>
      <c r="K1512" s="128"/>
      <c r="L1512" s="128"/>
      <c r="M1512" s="244"/>
      <c r="R1512" s="3"/>
      <c r="S1512" s="3"/>
      <c r="V1512"/>
      <c r="W1512"/>
      <c r="X1512"/>
      <c r="Y1512"/>
    </row>
    <row r="1513" spans="1:25" ht="15.75" thickTop="1">
      <c r="A1513" s="144" t="s">
        <v>791</v>
      </c>
      <c r="B1513" s="293"/>
      <c r="C1513" s="293"/>
      <c r="D1513" s="293"/>
      <c r="E1513" s="782"/>
      <c r="F1513" s="640"/>
      <c r="G1513" s="640"/>
      <c r="H1513" s="640"/>
      <c r="I1513" s="640"/>
      <c r="J1513" s="189"/>
      <c r="K1513" s="128"/>
      <c r="L1513" s="128"/>
      <c r="M1513" s="244"/>
      <c r="R1513" s="3"/>
      <c r="S1513" s="3"/>
      <c r="V1513"/>
      <c r="W1513"/>
      <c r="X1513"/>
      <c r="Y1513"/>
    </row>
    <row r="1514" spans="1:25" ht="15.75" thickBot="1">
      <c r="A1514" s="158"/>
      <c r="B1514" s="190"/>
      <c r="C1514" s="2"/>
      <c r="D1514" s="2"/>
      <c r="E1514" s="2"/>
      <c r="F1514" s="2"/>
      <c r="G1514" s="188"/>
      <c r="H1514" s="188"/>
      <c r="I1514" s="189"/>
      <c r="J1514" s="290"/>
      <c r="K1514" s="534"/>
      <c r="L1514" s="534"/>
      <c r="M1514" s="244"/>
      <c r="R1514" s="3"/>
      <c r="S1514" s="3"/>
      <c r="V1514"/>
      <c r="W1514"/>
      <c r="X1514"/>
      <c r="Y1514"/>
    </row>
    <row r="1515" spans="1:25" ht="15.75" thickTop="1">
      <c r="A1515" s="974" t="s">
        <v>74</v>
      </c>
      <c r="B1515" s="123"/>
      <c r="C1515" s="863" t="s">
        <v>665</v>
      </c>
      <c r="D1515" s="953"/>
      <c r="E1515" s="852" t="s">
        <v>784</v>
      </c>
      <c r="F1515" s="853"/>
      <c r="G1515" s="915" t="s">
        <v>723</v>
      </c>
      <c r="H1515" s="916"/>
      <c r="I1515" s="1002"/>
      <c r="J1515" s="1003"/>
      <c r="K1515" s="534"/>
      <c r="L1515" s="534"/>
      <c r="M1515" s="271"/>
      <c r="R1515" s="3"/>
      <c r="S1515" s="3"/>
      <c r="U1515"/>
      <c r="V1515"/>
      <c r="W1515"/>
      <c r="X1515"/>
      <c r="Y1515"/>
    </row>
    <row r="1516" spans="1:25" ht="16.5" customHeight="1">
      <c r="A1516" s="975"/>
      <c r="B1516" s="126"/>
      <c r="C1516" s="124" t="s">
        <v>144</v>
      </c>
      <c r="D1516" s="124" t="s">
        <v>146</v>
      </c>
      <c r="E1516" s="124" t="s">
        <v>144</v>
      </c>
      <c r="F1516" s="125" t="s">
        <v>146</v>
      </c>
      <c r="G1516" s="124" t="s">
        <v>144</v>
      </c>
      <c r="H1516" s="125" t="s">
        <v>146</v>
      </c>
      <c r="I1516" s="16"/>
      <c r="J1516" s="17"/>
      <c r="K1516" s="535"/>
      <c r="L1516" s="535"/>
      <c r="M1516" s="271"/>
      <c r="Q1516"/>
      <c r="R1516"/>
      <c r="S1516"/>
      <c r="T1516"/>
      <c r="U1516"/>
      <c r="V1516"/>
      <c r="W1516"/>
      <c r="X1516"/>
      <c r="Y1516"/>
    </row>
    <row r="1517" spans="1:25" ht="17.25" customHeight="1">
      <c r="A1517" s="39" t="s">
        <v>235</v>
      </c>
      <c r="B1517" s="14" t="s">
        <v>82</v>
      </c>
      <c r="C1517" s="744">
        <f>CEILING(80*$Z$1,0.1)</f>
        <v>104</v>
      </c>
      <c r="D1517" s="744">
        <f>_xlfn.CEILING.MATH((C1517+15*$Z$1),0.1)</f>
        <v>123.5</v>
      </c>
      <c r="E1517" s="744">
        <f>CEILING(98*$Z$1,0.1)</f>
        <v>127.4</v>
      </c>
      <c r="F1517" s="744">
        <f>_xlfn.CEILING.MATH((E1517+15*$Z$1),0.1)</f>
        <v>146.9</v>
      </c>
      <c r="G1517" s="744">
        <f>CEILING(80*$Z$1,0.1)</f>
        <v>104</v>
      </c>
      <c r="H1517" s="744">
        <f>_xlfn.CEILING.MATH((G1517+15*$Z$1),0.1)</f>
        <v>123.5</v>
      </c>
      <c r="I1517" s="4"/>
      <c r="J1517" s="3"/>
      <c r="K1517" s="440"/>
      <c r="L1517" s="440"/>
      <c r="M1517" s="271"/>
      <c r="R1517"/>
      <c r="S1517"/>
      <c r="T1517"/>
      <c r="U1517"/>
      <c r="V1517"/>
      <c r="W1517"/>
      <c r="X1517"/>
      <c r="Y1517"/>
    </row>
    <row r="1518" spans="1:25" ht="15.75" customHeight="1">
      <c r="A1518" s="40" t="s">
        <v>91</v>
      </c>
      <c r="B1518" s="14" t="s">
        <v>83</v>
      </c>
      <c r="C1518" s="744">
        <f>_xlfn.CEILING.MATH((C1517+60*$Z$1),0.1)</f>
        <v>182</v>
      </c>
      <c r="D1518" s="762">
        <f>_xlfn.CEILING.MATH((C1518+15*$Z$1),0.1)</f>
        <v>201.5</v>
      </c>
      <c r="E1518" s="744">
        <f>_xlfn.CEILING.MATH((E1517+60*$Z$1),0.1)</f>
        <v>205.4</v>
      </c>
      <c r="F1518" s="762">
        <f>_xlfn.CEILING.MATH((E1518+15*$Z$1),0.1)</f>
        <v>224.9</v>
      </c>
      <c r="G1518" s="744">
        <f>_xlfn.CEILING.MATH((G1517+60*$Z$1),0.1)</f>
        <v>182</v>
      </c>
      <c r="H1518" s="762">
        <f>_xlfn.CEILING.MATH((G1518+15*$Z$1),0.1)</f>
        <v>201.5</v>
      </c>
      <c r="I1518" s="4"/>
      <c r="J1518" s="3"/>
      <c r="K1518" s="440"/>
      <c r="L1518" s="440"/>
      <c r="M1518" s="271"/>
      <c r="Q1518"/>
      <c r="R1518"/>
      <c r="S1518"/>
      <c r="T1518"/>
      <c r="U1518"/>
      <c r="V1518"/>
      <c r="W1518"/>
      <c r="X1518"/>
      <c r="Y1518"/>
    </row>
    <row r="1519" spans="1:25" ht="15.75" customHeight="1">
      <c r="A1519" s="40"/>
      <c r="B1519" s="167" t="s">
        <v>116</v>
      </c>
      <c r="C1519" s="744">
        <f>CEILING((C1517*0.85),0.1)</f>
        <v>88.4</v>
      </c>
      <c r="D1519" s="762">
        <f>_xlfn.CEILING.MATH((C1519+15*$Z$1),0.1)</f>
        <v>107.9</v>
      </c>
      <c r="E1519" s="744">
        <f>CEILING((E1517*0.85),0.1)</f>
        <v>108.30000000000001</v>
      </c>
      <c r="F1519" s="762">
        <f>_xlfn.CEILING.MATH((E1519+15*$Z$1),0.1)</f>
        <v>127.80000000000001</v>
      </c>
      <c r="G1519" s="744">
        <f>CEILING((G1517*0.85),0.1)</f>
        <v>88.4</v>
      </c>
      <c r="H1519" s="762">
        <f>_xlfn.CEILING.MATH((G1519+15*$Z$1),0.1)</f>
        <v>107.9</v>
      </c>
      <c r="I1519" s="4"/>
      <c r="J1519" s="3"/>
      <c r="K1519" s="440"/>
      <c r="L1519" s="440"/>
      <c r="M1519" s="271"/>
      <c r="O1519" s="322"/>
      <c r="P1519" s="323"/>
      <c r="V1519"/>
      <c r="W1519"/>
      <c r="X1519"/>
      <c r="Y1519"/>
    </row>
    <row r="1520" spans="1:16" ht="15.75" thickBot="1">
      <c r="A1520" s="104" t="s">
        <v>887</v>
      </c>
      <c r="B1520" s="15" t="s">
        <v>160</v>
      </c>
      <c r="C1520" s="751">
        <f aca="true" t="shared" si="32" ref="C1520:H1520">CEILING((C1517*0.5),0.1)</f>
        <v>52</v>
      </c>
      <c r="D1520" s="751">
        <f t="shared" si="32"/>
        <v>61.800000000000004</v>
      </c>
      <c r="E1520" s="751">
        <f t="shared" si="32"/>
        <v>63.7</v>
      </c>
      <c r="F1520" s="751">
        <f t="shared" si="32"/>
        <v>73.5</v>
      </c>
      <c r="G1520" s="751">
        <f t="shared" si="32"/>
        <v>52</v>
      </c>
      <c r="H1520" s="751">
        <f t="shared" si="32"/>
        <v>61.800000000000004</v>
      </c>
      <c r="I1520" s="4"/>
      <c r="J1520" s="3"/>
      <c r="K1520" s="440"/>
      <c r="L1520" s="440"/>
      <c r="M1520" s="271"/>
      <c r="O1520" s="322"/>
      <c r="P1520" s="323"/>
    </row>
    <row r="1521" spans="1:13" ht="23.25" customHeight="1" thickBot="1" thickTop="1">
      <c r="A1521" s="92"/>
      <c r="B1521" s="71"/>
      <c r="C1521" s="71"/>
      <c r="D1521" s="71"/>
      <c r="E1521" s="71"/>
      <c r="F1521" s="71"/>
      <c r="G1521" s="71"/>
      <c r="H1521" s="71"/>
      <c r="I1521" s="72"/>
      <c r="J1521" s="271"/>
      <c r="K1521" s="534"/>
      <c r="L1521" s="534"/>
      <c r="M1521" s="271"/>
    </row>
    <row r="1522" spans="1:13" ht="15.75" thickTop="1">
      <c r="A1522" s="974" t="s">
        <v>74</v>
      </c>
      <c r="B1522" s="123"/>
      <c r="C1522" s="863" t="s">
        <v>665</v>
      </c>
      <c r="D1522" s="953"/>
      <c r="E1522" s="852" t="s">
        <v>784</v>
      </c>
      <c r="F1522" s="853"/>
      <c r="G1522" s="915" t="s">
        <v>723</v>
      </c>
      <c r="H1522" s="916"/>
      <c r="I1522" s="1002"/>
      <c r="J1522" s="1003"/>
      <c r="K1522" s="534"/>
      <c r="L1522" s="534"/>
      <c r="M1522" s="271"/>
    </row>
    <row r="1523" spans="1:13" ht="15">
      <c r="A1523" s="975"/>
      <c r="B1523" s="126"/>
      <c r="C1523" s="124" t="s">
        <v>144</v>
      </c>
      <c r="D1523" s="124" t="s">
        <v>146</v>
      </c>
      <c r="E1523" s="124" t="s">
        <v>144</v>
      </c>
      <c r="F1523" s="125" t="s">
        <v>146</v>
      </c>
      <c r="G1523" s="124" t="s">
        <v>144</v>
      </c>
      <c r="H1523" s="125" t="s">
        <v>146</v>
      </c>
      <c r="I1523" s="16"/>
      <c r="J1523" s="17"/>
      <c r="K1523" s="535"/>
      <c r="L1523" s="535"/>
      <c r="M1523" s="271"/>
    </row>
    <row r="1524" spans="1:13" ht="15">
      <c r="A1524" s="39" t="s">
        <v>236</v>
      </c>
      <c r="B1524" s="14" t="s">
        <v>512</v>
      </c>
      <c r="C1524" s="744">
        <f>CEILING(109.5*$Z$1,0.1)</f>
        <v>142.4</v>
      </c>
      <c r="D1524" s="744">
        <f>_xlfn.CEILING.MATH((C1524+20*$Z$1),0.1)</f>
        <v>168.4</v>
      </c>
      <c r="E1524" s="744">
        <f>CEILING(128.5*$Z$1,0.1)</f>
        <v>167.10000000000002</v>
      </c>
      <c r="F1524" s="744">
        <f>_xlfn.CEILING.MATH((E1524+20*$Z$1),0.1)</f>
        <v>193.10000000000002</v>
      </c>
      <c r="G1524" s="744">
        <f>CEILING(109.5*$Z$1,0.1)</f>
        <v>142.4</v>
      </c>
      <c r="H1524" s="744">
        <f>_xlfn.CEILING.MATH((G1524+20*$Z$1),0.1)</f>
        <v>168.4</v>
      </c>
      <c r="I1524" s="4"/>
      <c r="J1524" s="3"/>
      <c r="K1524" s="440"/>
      <c r="L1524" s="440"/>
      <c r="M1524" s="271"/>
    </row>
    <row r="1525" spans="1:13" ht="15">
      <c r="A1525" s="40" t="s">
        <v>91</v>
      </c>
      <c r="B1525" s="14" t="s">
        <v>513</v>
      </c>
      <c r="C1525" s="744">
        <f>CEILING(143*$Z$1,0.1)</f>
        <v>185.9</v>
      </c>
      <c r="D1525" s="762">
        <f>_xlfn.CEILING.MATH((C1525+20*$Z$1),0.1)</f>
        <v>211.9</v>
      </c>
      <c r="E1525" s="744">
        <f>CEILING(162*$Z$1,0.1)</f>
        <v>210.60000000000002</v>
      </c>
      <c r="F1525" s="762">
        <f>_xlfn.CEILING.MATH((E1525+20*$Z$1),0.1)</f>
        <v>236.60000000000002</v>
      </c>
      <c r="G1525" s="744">
        <f>CEILING(143*$Z$1,0.1)</f>
        <v>185.9</v>
      </c>
      <c r="H1525" s="762">
        <f>_xlfn.CEILING.MATH((G1525+20*$Z$1),0.1)</f>
        <v>211.9</v>
      </c>
      <c r="I1525" s="4"/>
      <c r="J1525" s="3"/>
      <c r="K1525" s="440"/>
      <c r="L1525" s="440"/>
      <c r="M1525" s="271"/>
    </row>
    <row r="1526" spans="1:13" ht="15">
      <c r="A1526" s="40"/>
      <c r="B1526" s="167" t="s">
        <v>514</v>
      </c>
      <c r="C1526" s="744">
        <f>CEILING(66*$Z$1,0.1)</f>
        <v>85.80000000000001</v>
      </c>
      <c r="D1526" s="762">
        <f>_xlfn.CEILING.MATH((C1526+20*$Z$1),0.1)</f>
        <v>111.80000000000001</v>
      </c>
      <c r="E1526" s="744">
        <f>CEILING(85*$Z$1,0.1)</f>
        <v>110.5</v>
      </c>
      <c r="F1526" s="762">
        <f>_xlfn.CEILING.MATH((E1526+20*$Z$1),0.1)</f>
        <v>136.5</v>
      </c>
      <c r="G1526" s="744">
        <f>CEILING(66*$Z$1,0.1)</f>
        <v>85.80000000000001</v>
      </c>
      <c r="H1526" s="762">
        <f>_xlfn.CEILING.MATH((G1526+20*$Z$1),0.1)</f>
        <v>111.80000000000001</v>
      </c>
      <c r="I1526" s="4"/>
      <c r="J1526" s="3"/>
      <c r="K1526" s="440"/>
      <c r="L1526" s="440"/>
      <c r="M1526" s="271"/>
    </row>
    <row r="1527" spans="1:13" ht="15">
      <c r="A1527" s="40"/>
      <c r="B1527" s="167" t="s">
        <v>520</v>
      </c>
      <c r="C1527" s="779">
        <f aca="true" t="shared" si="33" ref="C1527:H1527">CEILING((C1524*0.5),0.1)</f>
        <v>71.2</v>
      </c>
      <c r="D1527" s="779">
        <f t="shared" si="33"/>
        <v>84.2</v>
      </c>
      <c r="E1527" s="779">
        <f t="shared" si="33"/>
        <v>83.60000000000001</v>
      </c>
      <c r="F1527" s="779">
        <f t="shared" si="33"/>
        <v>96.60000000000001</v>
      </c>
      <c r="G1527" s="779">
        <f t="shared" si="33"/>
        <v>71.2</v>
      </c>
      <c r="H1527" s="779">
        <f t="shared" si="33"/>
        <v>84.2</v>
      </c>
      <c r="I1527" s="4"/>
      <c r="J1527" s="3"/>
      <c r="K1527" s="440"/>
      <c r="L1527" s="440"/>
      <c r="M1527" s="271"/>
    </row>
    <row r="1528" spans="1:13" ht="15">
      <c r="A1528" s="40"/>
      <c r="B1528" s="167" t="s">
        <v>515</v>
      </c>
      <c r="C1528" s="779">
        <f>CEILING(123.5*$Z$1,0.1)</f>
        <v>160.60000000000002</v>
      </c>
      <c r="D1528" s="762">
        <f>_xlfn.CEILING.MATH((C1524+20*$Z$1),0.1)</f>
        <v>168.4</v>
      </c>
      <c r="E1528" s="779">
        <f>CEILING(142.5*$Z$1,0.1)</f>
        <v>185.3</v>
      </c>
      <c r="F1528" s="762">
        <f>_xlfn.CEILING.MATH((E1524+20*$Z$1),0.1)</f>
        <v>193.10000000000002</v>
      </c>
      <c r="G1528" s="779">
        <f>CEILING(123.5*$Z$1,0.1)</f>
        <v>160.60000000000002</v>
      </c>
      <c r="H1528" s="762">
        <f>_xlfn.CEILING.MATH((G1524+20*$Z$1),0.1)</f>
        <v>168.4</v>
      </c>
      <c r="I1528" s="4"/>
      <c r="J1528" s="3"/>
      <c r="K1528" s="440"/>
      <c r="L1528" s="440"/>
      <c r="M1528" s="271"/>
    </row>
    <row r="1529" spans="1:13" ht="15">
      <c r="A1529" s="40"/>
      <c r="B1529" s="14" t="s">
        <v>516</v>
      </c>
      <c r="C1529" s="744">
        <f>CEILING(162*$Z$1,0.1)</f>
        <v>210.60000000000002</v>
      </c>
      <c r="D1529" s="762">
        <f>_xlfn.CEILING.MATH((C1529+20*$Z$1),0.1)</f>
        <v>236.60000000000002</v>
      </c>
      <c r="E1529" s="744">
        <f>CEILING(181*$Z$1,0.1)</f>
        <v>235.3</v>
      </c>
      <c r="F1529" s="762">
        <f>_xlfn.CEILING.MATH((E1529+20*$Z$1),0.1)</f>
        <v>261.3</v>
      </c>
      <c r="G1529" s="744">
        <f>CEILING(162*$Z$1,0.1)</f>
        <v>210.60000000000002</v>
      </c>
      <c r="H1529" s="762">
        <f>_xlfn.CEILING.MATH((G1529+20*$Z$1),0.1)</f>
        <v>236.60000000000002</v>
      </c>
      <c r="I1529" s="4"/>
      <c r="J1529" s="3"/>
      <c r="K1529" s="440"/>
      <c r="L1529" s="440"/>
      <c r="M1529" s="271"/>
    </row>
    <row r="1530" spans="1:13" ht="15">
      <c r="A1530" s="40"/>
      <c r="B1530" s="167" t="s">
        <v>517</v>
      </c>
      <c r="C1530" s="744">
        <f>CEILING(67*$Z$1,0.1)</f>
        <v>87.10000000000001</v>
      </c>
      <c r="D1530" s="762">
        <f>_xlfn.CEILING.MATH((C1530+20*$Z$1),0.1)</f>
        <v>113.10000000000001</v>
      </c>
      <c r="E1530" s="744">
        <f>CEILING(86*$Z$1,0.1)</f>
        <v>111.80000000000001</v>
      </c>
      <c r="F1530" s="762">
        <f>_xlfn.CEILING.MATH((E1530+20*$Z$1),0.1)</f>
        <v>137.8</v>
      </c>
      <c r="G1530" s="744">
        <f>CEILING(67*$Z$1,0.1)</f>
        <v>87.10000000000001</v>
      </c>
      <c r="H1530" s="762">
        <f>_xlfn.CEILING.MATH((G1530+20*$Z$1),0.1)</f>
        <v>113.10000000000001</v>
      </c>
      <c r="I1530" s="4"/>
      <c r="J1530" s="3"/>
      <c r="K1530" s="440"/>
      <c r="L1530" s="440"/>
      <c r="M1530" s="271"/>
    </row>
    <row r="1531" spans="1:13" ht="15">
      <c r="A1531" s="40"/>
      <c r="B1531" s="167" t="s">
        <v>519</v>
      </c>
      <c r="C1531" s="779">
        <f aca="true" t="shared" si="34" ref="C1531:H1531">CEILING((C1528*0.5),0.1)</f>
        <v>80.30000000000001</v>
      </c>
      <c r="D1531" s="779">
        <f t="shared" si="34"/>
        <v>84.2</v>
      </c>
      <c r="E1531" s="779">
        <f t="shared" si="34"/>
        <v>92.7</v>
      </c>
      <c r="F1531" s="779">
        <f t="shared" si="34"/>
        <v>96.60000000000001</v>
      </c>
      <c r="G1531" s="779">
        <f t="shared" si="34"/>
        <v>80.30000000000001</v>
      </c>
      <c r="H1531" s="779">
        <f t="shared" si="34"/>
        <v>84.2</v>
      </c>
      <c r="I1531" s="4"/>
      <c r="J1531" s="3"/>
      <c r="K1531" s="440"/>
      <c r="L1531" s="440"/>
      <c r="M1531" s="271"/>
    </row>
    <row r="1532" spans="1:13" ht="15.75" thickBot="1">
      <c r="A1532" s="104" t="s">
        <v>886</v>
      </c>
      <c r="B1532" s="15" t="s">
        <v>499</v>
      </c>
      <c r="C1532" s="780">
        <f>CEILING(138*$Z$1,0.1)</f>
        <v>179.4</v>
      </c>
      <c r="D1532" s="763">
        <f>_xlfn.CEILING.MATH((C1528+20*$Z$1),0.1)</f>
        <v>186.60000000000002</v>
      </c>
      <c r="E1532" s="780">
        <f>CEILING(157*$Z$1,0.1)</f>
        <v>204.10000000000002</v>
      </c>
      <c r="F1532" s="763">
        <f>_xlfn.CEILING.MATH((E1528+20*$Z$1),0.1)</f>
        <v>211.3</v>
      </c>
      <c r="G1532" s="780">
        <f>CEILING(138*$Z$1,0.1)</f>
        <v>179.4</v>
      </c>
      <c r="H1532" s="763">
        <f>_xlfn.CEILING.MATH((G1528+20*$Z$1),0.1)</f>
        <v>186.60000000000002</v>
      </c>
      <c r="I1532" s="4"/>
      <c r="J1532" s="3"/>
      <c r="K1532" s="440"/>
      <c r="L1532" s="440"/>
      <c r="M1532" s="271"/>
    </row>
    <row r="1533" spans="1:14" ht="21.75" customHeight="1" thickBot="1" thickTop="1">
      <c r="A1533" s="785"/>
      <c r="B1533" s="786"/>
      <c r="C1533" s="188"/>
      <c r="D1533" s="188"/>
      <c r="E1533" s="189"/>
      <c r="F1533" s="189"/>
      <c r="G1533" s="189"/>
      <c r="H1533" s="189"/>
      <c r="I1533" s="189"/>
      <c r="J1533" s="271"/>
      <c r="K1533" s="545"/>
      <c r="L1533" s="545"/>
      <c r="M1533" s="935"/>
      <c r="N1533" s="935"/>
    </row>
    <row r="1534" spans="1:14" ht="15.75" thickTop="1">
      <c r="A1534" s="949"/>
      <c r="B1534" s="978"/>
      <c r="C1534" s="1035" t="s">
        <v>789</v>
      </c>
      <c r="D1534" s="1036"/>
      <c r="E1534" s="979"/>
      <c r="F1534" s="980"/>
      <c r="G1534" s="980"/>
      <c r="H1534" s="980"/>
      <c r="I1534" s="783"/>
      <c r="J1534" s="784"/>
      <c r="K1534" s="128"/>
      <c r="L1534" s="502"/>
      <c r="M1534" s="18"/>
      <c r="N1534" s="22"/>
    </row>
    <row r="1535" spans="1:14" ht="15">
      <c r="A1535" s="950"/>
      <c r="B1535" s="978"/>
      <c r="C1535" s="249" t="s">
        <v>144</v>
      </c>
      <c r="D1535" s="296" t="s">
        <v>146</v>
      </c>
      <c r="E1535" s="596"/>
      <c r="F1535" s="593"/>
      <c r="G1535" s="593"/>
      <c r="H1535" s="593"/>
      <c r="I1535" s="593"/>
      <c r="J1535" s="593"/>
      <c r="K1535" s="128"/>
      <c r="L1535" s="128"/>
      <c r="M1535" s="18"/>
      <c r="N1535" s="22"/>
    </row>
    <row r="1536" spans="1:14" ht="16.5" customHeight="1">
      <c r="A1536" s="78" t="s">
        <v>238</v>
      </c>
      <c r="B1536" s="171" t="s">
        <v>82</v>
      </c>
      <c r="C1536" s="744">
        <f>CEILING(97*$Z$1,0.1)</f>
        <v>126.10000000000001</v>
      </c>
      <c r="D1536" s="8"/>
      <c r="E1536" s="740"/>
      <c r="F1536" s="741"/>
      <c r="G1536" s="741"/>
      <c r="H1536" s="741"/>
      <c r="I1536" s="741"/>
      <c r="J1536" s="741"/>
      <c r="K1536" s="502"/>
      <c r="L1536" s="128"/>
      <c r="M1536" s="18"/>
      <c r="N1536" s="22"/>
    </row>
    <row r="1537" spans="1:14" ht="15">
      <c r="A1537" s="39" t="s">
        <v>240</v>
      </c>
      <c r="B1537" s="12" t="s">
        <v>83</v>
      </c>
      <c r="C1537" s="744">
        <f>CEILING(185*$Z$1,0.1)</f>
        <v>240.5</v>
      </c>
      <c r="D1537" s="4"/>
      <c r="E1537" s="740"/>
      <c r="F1537" s="741"/>
      <c r="G1537" s="741"/>
      <c r="H1537" s="741"/>
      <c r="I1537" s="741"/>
      <c r="J1537" s="741"/>
      <c r="K1537" s="502"/>
      <c r="L1537" s="502"/>
      <c r="M1537" s="18"/>
      <c r="N1537" s="22"/>
    </row>
    <row r="1538" spans="1:14" ht="15.75" customHeight="1">
      <c r="A1538" s="255" t="s">
        <v>242</v>
      </c>
      <c r="B1538" s="167" t="s">
        <v>116</v>
      </c>
      <c r="C1538" s="744">
        <f>CEILING((C1536*0.85),0.1)</f>
        <v>107.2</v>
      </c>
      <c r="D1538" s="4"/>
      <c r="E1538" s="740"/>
      <c r="F1538" s="741"/>
      <c r="G1538" s="741"/>
      <c r="H1538" s="741"/>
      <c r="I1538" s="741"/>
      <c r="J1538" s="741"/>
      <c r="K1538" s="502"/>
      <c r="L1538" s="502"/>
      <c r="M1538" s="18"/>
      <c r="N1538" s="22"/>
    </row>
    <row r="1539" spans="1:14" ht="15.75" customHeight="1">
      <c r="A1539" s="255" t="s">
        <v>243</v>
      </c>
      <c r="B1539" s="14" t="s">
        <v>232</v>
      </c>
      <c r="C1539" s="744">
        <f>CEILING((C1536*0.5),0.1)</f>
        <v>63.1</v>
      </c>
      <c r="D1539" s="4"/>
      <c r="E1539" s="740"/>
      <c r="F1539" s="741"/>
      <c r="G1539" s="741"/>
      <c r="H1539" s="741"/>
      <c r="I1539" s="741"/>
      <c r="J1539" s="741"/>
      <c r="K1539" s="502"/>
      <c r="L1539" s="502"/>
      <c r="M1539" s="22"/>
      <c r="N1539" s="22"/>
    </row>
    <row r="1540" spans="1:14" ht="15">
      <c r="A1540" s="255" t="s">
        <v>244</v>
      </c>
      <c r="B1540" s="12" t="s">
        <v>334</v>
      </c>
      <c r="C1540" s="779">
        <f>CEILING(119*$Z$1,0.1)</f>
        <v>154.70000000000002</v>
      </c>
      <c r="D1540" s="4"/>
      <c r="E1540" s="740"/>
      <c r="F1540" s="741"/>
      <c r="G1540" s="741"/>
      <c r="H1540" s="741"/>
      <c r="I1540" s="741"/>
      <c r="J1540" s="741"/>
      <c r="K1540" s="502"/>
      <c r="L1540" s="502"/>
      <c r="M1540" s="22"/>
      <c r="N1540" s="22"/>
    </row>
    <row r="1541" spans="1:14" ht="15">
      <c r="A1541" s="255" t="s">
        <v>331</v>
      </c>
      <c r="B1541" s="12" t="s">
        <v>335</v>
      </c>
      <c r="C1541" s="744">
        <f>CEILING(207*$Z$1,0.1)</f>
        <v>269.1</v>
      </c>
      <c r="D1541" s="4"/>
      <c r="E1541" s="740"/>
      <c r="F1541" s="741"/>
      <c r="G1541" s="741"/>
      <c r="H1541" s="741"/>
      <c r="I1541" s="741"/>
      <c r="J1541" s="741"/>
      <c r="K1541" s="112"/>
      <c r="L1541" s="502"/>
      <c r="M1541" s="22"/>
      <c r="N1541" s="22"/>
    </row>
    <row r="1542" spans="1:14" ht="15">
      <c r="A1542" s="255" t="s">
        <v>247</v>
      </c>
      <c r="B1542" s="12" t="s">
        <v>792</v>
      </c>
      <c r="C1542" s="762">
        <f>CEILING(136*$Z$1,0.1)</f>
        <v>176.8</v>
      </c>
      <c r="D1542" s="4"/>
      <c r="E1542" s="740"/>
      <c r="F1542" s="741"/>
      <c r="G1542" s="741"/>
      <c r="H1542" s="741"/>
      <c r="I1542" s="741"/>
      <c r="J1542" s="741"/>
      <c r="K1542" s="128"/>
      <c r="L1542" s="112"/>
      <c r="M1542" s="22"/>
      <c r="N1542" s="22"/>
    </row>
    <row r="1543" spans="1:14" ht="15">
      <c r="A1543" s="255" t="s">
        <v>245</v>
      </c>
      <c r="B1543" s="12" t="s">
        <v>793</v>
      </c>
      <c r="C1543" s="779">
        <f>CEILING(224*$Z$1,0.1)</f>
        <v>291.2</v>
      </c>
      <c r="D1543" s="4"/>
      <c r="E1543" s="740"/>
      <c r="F1543" s="741"/>
      <c r="G1543" s="741"/>
      <c r="H1543" s="741"/>
      <c r="I1543" s="741"/>
      <c r="J1543" s="741"/>
      <c r="K1543" s="128"/>
      <c r="L1543" s="128"/>
      <c r="M1543" s="22"/>
      <c r="N1543" s="22"/>
    </row>
    <row r="1544" spans="1:14" ht="15">
      <c r="A1544" s="254" t="s">
        <v>246</v>
      </c>
      <c r="B1544" s="12"/>
      <c r="C1544" s="4"/>
      <c r="D1544" s="4"/>
      <c r="E1544" s="740"/>
      <c r="F1544" s="741"/>
      <c r="G1544" s="741"/>
      <c r="H1544" s="741"/>
      <c r="I1544" s="741"/>
      <c r="J1544" s="741"/>
      <c r="K1544" s="128"/>
      <c r="L1544" s="128"/>
      <c r="M1544" s="98"/>
      <c r="N1544" s="98"/>
    </row>
    <row r="1545" spans="1:14" ht="15">
      <c r="A1545" s="254" t="s">
        <v>330</v>
      </c>
      <c r="B1545" s="12"/>
      <c r="C1545" s="4"/>
      <c r="D1545" s="4"/>
      <c r="E1545" s="740"/>
      <c r="F1545" s="741"/>
      <c r="G1545" s="741"/>
      <c r="H1545" s="741"/>
      <c r="I1545" s="741"/>
      <c r="J1545" s="741"/>
      <c r="K1545" s="534"/>
      <c r="L1545" s="128"/>
      <c r="M1545" s="98"/>
      <c r="N1545" s="98"/>
    </row>
    <row r="1546" spans="1:14" ht="15">
      <c r="A1546" s="254" t="s">
        <v>571</v>
      </c>
      <c r="B1546" s="256"/>
      <c r="C1546" s="4"/>
      <c r="D1546" s="4"/>
      <c r="E1546" s="740"/>
      <c r="F1546" s="741"/>
      <c r="G1546" s="741"/>
      <c r="H1546" s="741"/>
      <c r="I1546" s="741"/>
      <c r="J1546" s="741"/>
      <c r="K1546" s="534"/>
      <c r="L1546" s="128"/>
      <c r="M1546" s="98"/>
      <c r="N1546" s="98"/>
    </row>
    <row r="1547" spans="1:25" s="724" customFormat="1" ht="15">
      <c r="A1547" s="254" t="s">
        <v>328</v>
      </c>
      <c r="B1547" s="256"/>
      <c r="C1547" s="4"/>
      <c r="D1547" s="4"/>
      <c r="E1547" s="740"/>
      <c r="F1547" s="741"/>
      <c r="G1547" s="741"/>
      <c r="H1547" s="741"/>
      <c r="I1547" s="741"/>
      <c r="J1547" s="741"/>
      <c r="K1547" s="534"/>
      <c r="L1547" s="128"/>
      <c r="M1547" s="98"/>
      <c r="N1547" s="98"/>
      <c r="O1547" s="244"/>
      <c r="P1547" s="244"/>
      <c r="Q1547" s="244"/>
      <c r="R1547" s="244"/>
      <c r="S1547" s="244"/>
      <c r="T1547" s="244"/>
      <c r="U1547" s="244"/>
      <c r="V1547" s="244"/>
      <c r="W1547" s="244"/>
      <c r="X1547" s="244"/>
      <c r="Y1547" s="244"/>
    </row>
    <row r="1548" spans="1:14" ht="15">
      <c r="A1548" s="254" t="s">
        <v>329</v>
      </c>
      <c r="B1548" s="256"/>
      <c r="C1548" s="4"/>
      <c r="D1548" s="4"/>
      <c r="E1548" s="740"/>
      <c r="F1548" s="741"/>
      <c r="G1548" s="741"/>
      <c r="H1548" s="741"/>
      <c r="I1548" s="741"/>
      <c r="J1548" s="741"/>
      <c r="K1548" s="440"/>
      <c r="L1548" s="534"/>
      <c r="M1548" s="98"/>
      <c r="N1548" s="98"/>
    </row>
    <row r="1549" spans="1:14" ht="15.75" thickBot="1">
      <c r="A1549" s="105" t="s">
        <v>885</v>
      </c>
      <c r="B1549" s="480"/>
      <c r="C1549" s="7"/>
      <c r="D1549" s="7"/>
      <c r="E1549" s="740"/>
      <c r="F1549" s="741"/>
      <c r="G1549" s="741"/>
      <c r="H1549" s="741"/>
      <c r="I1549" s="741"/>
      <c r="J1549" s="741"/>
      <c r="K1549" s="440"/>
      <c r="L1549" s="440"/>
      <c r="M1549" s="98"/>
      <c r="N1549" s="98"/>
    </row>
    <row r="1550" spans="1:14" ht="15.75" thickTop="1">
      <c r="A1550" s="144" t="s">
        <v>570</v>
      </c>
      <c r="B1550" s="477"/>
      <c r="C1550" s="477"/>
      <c r="D1550" s="477"/>
      <c r="E1550" s="99"/>
      <c r="F1550" s="99"/>
      <c r="G1550" s="99"/>
      <c r="H1550" s="99"/>
      <c r="I1550" s="99"/>
      <c r="J1550" s="271"/>
      <c r="K1550" s="440"/>
      <c r="L1550" s="440"/>
      <c r="M1550" s="194"/>
      <c r="N1550" s="194"/>
    </row>
    <row r="1551" spans="1:14" ht="15.75" thickBot="1">
      <c r="A1551" s="641"/>
      <c r="B1551" s="642"/>
      <c r="C1551" s="633"/>
      <c r="D1551" s="633"/>
      <c r="E1551" s="633"/>
      <c r="F1551" s="633"/>
      <c r="G1551" s="633"/>
      <c r="H1551" s="633"/>
      <c r="I1551" s="741"/>
      <c r="J1551" s="556"/>
      <c r="K1551" s="531"/>
      <c r="L1551" s="531"/>
      <c r="M1551" s="438"/>
      <c r="N1551" s="438"/>
    </row>
    <row r="1552" spans="1:14" ht="17.25" customHeight="1" thickTop="1">
      <c r="A1552" s="949" t="s">
        <v>74</v>
      </c>
      <c r="B1552" s="978"/>
      <c r="C1552" s="863" t="s">
        <v>665</v>
      </c>
      <c r="D1552" s="953"/>
      <c r="E1552" s="852" t="s">
        <v>784</v>
      </c>
      <c r="F1552" s="853"/>
      <c r="G1552" s="915" t="s">
        <v>723</v>
      </c>
      <c r="H1552" s="977"/>
      <c r="I1552" s="617"/>
      <c r="J1552" s="748"/>
      <c r="K1552" s="616"/>
      <c r="L1552" s="616"/>
      <c r="M1552" s="615"/>
      <c r="N1552" s="615"/>
    </row>
    <row r="1553" spans="1:14" ht="15">
      <c r="A1553" s="950"/>
      <c r="B1553" s="1039"/>
      <c r="C1553" s="124" t="s">
        <v>144</v>
      </c>
      <c r="D1553" s="124" t="s">
        <v>146</v>
      </c>
      <c r="E1553" s="124" t="s">
        <v>144</v>
      </c>
      <c r="F1553" s="124" t="s">
        <v>146</v>
      </c>
      <c r="G1553" s="124" t="s">
        <v>144</v>
      </c>
      <c r="H1553" s="125" t="s">
        <v>146</v>
      </c>
      <c r="I1553" s="596"/>
      <c r="J1553" s="593"/>
      <c r="K1553" s="594"/>
      <c r="L1553" s="594"/>
      <c r="M1553" s="593"/>
      <c r="N1553" s="593"/>
    </row>
    <row r="1554" spans="1:14" ht="15">
      <c r="A1554" s="78" t="s">
        <v>248</v>
      </c>
      <c r="B1554" s="186" t="s">
        <v>82</v>
      </c>
      <c r="C1554" s="744">
        <f>CEILING(135*$Z$1,0.1)</f>
        <v>175.5</v>
      </c>
      <c r="D1554" s="744">
        <f>_xlfn.CEILING.MATH((C1554+25*$Z$1),0.1)</f>
        <v>208</v>
      </c>
      <c r="E1554" s="744">
        <f>CEILING(170*$Z$1,0.1)</f>
        <v>221</v>
      </c>
      <c r="F1554" s="744">
        <f>_xlfn.CEILING.MATH((E1554+25*$Z$1),0.1)</f>
        <v>253.5</v>
      </c>
      <c r="G1554" s="744">
        <f>CEILING(135*$Z$1,0.1)</f>
        <v>175.5</v>
      </c>
      <c r="H1554" s="744">
        <f>_xlfn.CEILING.MATH((G1554+25*$Z$1),0.1)</f>
        <v>208</v>
      </c>
      <c r="I1554" s="740"/>
      <c r="J1554" s="741"/>
      <c r="K1554" s="590"/>
      <c r="L1554" s="590"/>
      <c r="M1554" s="606"/>
      <c r="N1554" s="606"/>
    </row>
    <row r="1555" spans="1:14" ht="15">
      <c r="A1555" s="40" t="s">
        <v>91</v>
      </c>
      <c r="B1555" s="13" t="s">
        <v>83</v>
      </c>
      <c r="C1555" s="744">
        <f>_xlfn.CEILING.MATH((C1554+70*$Z$1),0.1)</f>
        <v>266.5</v>
      </c>
      <c r="D1555" s="762">
        <f>_xlfn.CEILING.MATH((C1555+25*$Z$1),0.1)</f>
        <v>299</v>
      </c>
      <c r="E1555" s="744">
        <f>_xlfn.CEILING.MATH((E1554+70*$Z$1),0.1)</f>
        <v>312</v>
      </c>
      <c r="F1555" s="762">
        <f>_xlfn.CEILING.MATH((E1555+25*$Z$1),0.1)</f>
        <v>344.5</v>
      </c>
      <c r="G1555" s="744">
        <f>_xlfn.CEILING.MATH((G1554+70*$Z$1),0.1)</f>
        <v>266.5</v>
      </c>
      <c r="H1555" s="762">
        <f>_xlfn.CEILING.MATH((G1555+25*$Z$1),0.1)</f>
        <v>299</v>
      </c>
      <c r="I1555" s="740"/>
      <c r="J1555" s="741"/>
      <c r="K1555" s="590"/>
      <c r="L1555" s="590"/>
      <c r="M1555" s="606"/>
      <c r="N1555" s="606"/>
    </row>
    <row r="1556" spans="1:14" ht="15">
      <c r="A1556" s="243"/>
      <c r="B1556" s="13" t="s">
        <v>116</v>
      </c>
      <c r="C1556" s="744">
        <f>CEILING((C1554*0.85),0.1)</f>
        <v>149.20000000000002</v>
      </c>
      <c r="D1556" s="762">
        <f>_xlfn.CEILING.MATH((C1556+25*$Z$1),0.1)</f>
        <v>181.70000000000002</v>
      </c>
      <c r="E1556" s="744">
        <f>CEILING((E1554*0.85),0.1)</f>
        <v>187.9</v>
      </c>
      <c r="F1556" s="762">
        <f>_xlfn.CEILING.MATH((E1556+25*$Z$1),0.1)</f>
        <v>220.4</v>
      </c>
      <c r="G1556" s="744">
        <f>CEILING((G1554*0.85),0.1)</f>
        <v>149.20000000000002</v>
      </c>
      <c r="H1556" s="762">
        <f>_xlfn.CEILING.MATH((G1556+25*$Z$1),0.1)</f>
        <v>181.70000000000002</v>
      </c>
      <c r="I1556" s="740"/>
      <c r="J1556" s="741"/>
      <c r="K1556" s="590"/>
      <c r="L1556" s="590"/>
      <c r="M1556" s="606"/>
      <c r="N1556" s="606"/>
    </row>
    <row r="1557" spans="1:14" ht="17.25" customHeight="1" thickBot="1">
      <c r="A1557" s="73" t="s">
        <v>884</v>
      </c>
      <c r="B1557" s="43" t="s">
        <v>249</v>
      </c>
      <c r="C1557" s="780">
        <f aca="true" t="shared" si="35" ref="C1557:H1557">CEILING((C1554*0.5),0.1)</f>
        <v>87.80000000000001</v>
      </c>
      <c r="D1557" s="780">
        <f t="shared" si="35"/>
        <v>104</v>
      </c>
      <c r="E1557" s="780">
        <f t="shared" si="35"/>
        <v>110.5</v>
      </c>
      <c r="F1557" s="780">
        <f t="shared" si="35"/>
        <v>126.80000000000001</v>
      </c>
      <c r="G1557" s="780">
        <f t="shared" si="35"/>
        <v>87.80000000000001</v>
      </c>
      <c r="H1557" s="780">
        <f t="shared" si="35"/>
        <v>104</v>
      </c>
      <c r="I1557" s="740"/>
      <c r="J1557" s="741"/>
      <c r="K1557" s="590"/>
      <c r="L1557" s="590"/>
      <c r="M1557" s="606"/>
      <c r="N1557" s="606"/>
    </row>
    <row r="1558" spans="1:14" ht="16.5" customHeight="1" thickTop="1">
      <c r="A1558" s="215" t="s">
        <v>829</v>
      </c>
      <c r="B1558" s="144"/>
      <c r="C1558" s="144"/>
      <c r="D1558" s="144"/>
      <c r="E1558" s="144"/>
      <c r="F1558" s="144"/>
      <c r="G1558" s="144"/>
      <c r="H1558" s="144"/>
      <c r="I1558" s="144"/>
      <c r="J1558" s="3"/>
      <c r="K1558" s="509"/>
      <c r="L1558" s="519"/>
      <c r="M1558" s="211"/>
      <c r="N1558" s="211"/>
    </row>
    <row r="1559" spans="1:14" ht="15.75" thickBot="1">
      <c r="A1559" s="158"/>
      <c r="B1559" s="190"/>
      <c r="C1559" s="2"/>
      <c r="D1559" s="2"/>
      <c r="E1559" s="2"/>
      <c r="F1559" s="2"/>
      <c r="G1559" s="2"/>
      <c r="H1559" s="2"/>
      <c r="I1559" s="3"/>
      <c r="J1559" s="290"/>
      <c r="K1559" s="516"/>
      <c r="L1559" s="509"/>
      <c r="M1559" s="211"/>
      <c r="N1559" s="211"/>
    </row>
    <row r="1560" spans="1:14" ht="15.75" thickTop="1">
      <c r="A1560" s="949" t="s">
        <v>74</v>
      </c>
      <c r="B1560" s="191"/>
      <c r="C1560" s="863" t="s">
        <v>665</v>
      </c>
      <c r="D1560" s="953"/>
      <c r="E1560" s="863" t="s">
        <v>669</v>
      </c>
      <c r="F1560" s="953"/>
      <c r="G1560" s="863" t="s">
        <v>668</v>
      </c>
      <c r="H1560" s="953"/>
      <c r="I1560" s="262"/>
      <c r="J1560" s="17"/>
      <c r="K1560" s="486"/>
      <c r="L1560" s="516"/>
      <c r="M1560" s="211"/>
      <c r="N1560" s="211"/>
    </row>
    <row r="1561" spans="1:14" ht="15">
      <c r="A1561" s="950"/>
      <c r="B1561" s="192"/>
      <c r="C1561" s="124" t="s">
        <v>144</v>
      </c>
      <c r="D1561" s="197" t="s">
        <v>146</v>
      </c>
      <c r="E1561" s="124" t="s">
        <v>144</v>
      </c>
      <c r="F1561" s="198" t="s">
        <v>146</v>
      </c>
      <c r="G1561" s="124" t="s">
        <v>144</v>
      </c>
      <c r="H1561" s="125" t="s">
        <v>146</v>
      </c>
      <c r="I1561" s="16"/>
      <c r="J1561" s="3"/>
      <c r="K1561" s="509"/>
      <c r="L1561" s="486"/>
      <c r="M1561" s="211"/>
      <c r="N1561" s="211"/>
    </row>
    <row r="1562" spans="1:16" ht="16.5" customHeight="1">
      <c r="A1562" s="39" t="s">
        <v>251</v>
      </c>
      <c r="B1562" s="101" t="s">
        <v>82</v>
      </c>
      <c r="C1562" s="744">
        <f>CEILING(28*$Z$1,0.1)</f>
        <v>36.4</v>
      </c>
      <c r="D1562" s="744">
        <f>_xlfn.CEILING.MATH((C1562+12*$Z$1),0.1)</f>
        <v>52</v>
      </c>
      <c r="E1562" s="744">
        <f>CEILING(30*$Z$1,0.1)</f>
        <v>39</v>
      </c>
      <c r="F1562" s="744">
        <f>_xlfn.CEILING.MATH((E1562+12*$Z$1),0.1)</f>
        <v>54.6</v>
      </c>
      <c r="G1562" s="744">
        <f>CEILING(28*$Z$1,0.1)</f>
        <v>36.4</v>
      </c>
      <c r="H1562" s="744">
        <f>_xlfn.CEILING.MATH((G1562+12*$Z$1),0.1)</f>
        <v>52</v>
      </c>
      <c r="I1562" s="4"/>
      <c r="J1562" s="3"/>
      <c r="K1562" s="509"/>
      <c r="L1562" s="509"/>
      <c r="M1562" s="211"/>
      <c r="N1562" s="211"/>
      <c r="O1562" s="438"/>
      <c r="P1562" s="438"/>
    </row>
    <row r="1563" spans="1:16" ht="17.25" customHeight="1">
      <c r="A1563" s="40" t="s">
        <v>250</v>
      </c>
      <c r="B1563" s="34" t="s">
        <v>83</v>
      </c>
      <c r="C1563" s="744">
        <f>_xlfn.CEILING.MATH((C1562+8*$Z$1),0.1)</f>
        <v>46.800000000000004</v>
      </c>
      <c r="D1563" s="762">
        <f>_xlfn.CEILING.MATH((C1563+12*$Z$1),0.1)</f>
        <v>62.400000000000006</v>
      </c>
      <c r="E1563" s="744">
        <f>_xlfn.CEILING.MATH((E1562+8*$Z$1),0.1)</f>
        <v>49.400000000000006</v>
      </c>
      <c r="F1563" s="762">
        <f>_xlfn.CEILING.MATH((E1563+12*$Z$1),0.1)</f>
        <v>65</v>
      </c>
      <c r="G1563" s="744">
        <f>_xlfn.CEILING.MATH((G1562+8*$Z$1),0.1)</f>
        <v>46.800000000000004</v>
      </c>
      <c r="H1563" s="762">
        <f>_xlfn.CEILING.MATH((G1563+12*$Z$1),0.1)</f>
        <v>62.400000000000006</v>
      </c>
      <c r="I1563" s="4"/>
      <c r="J1563" s="3"/>
      <c r="K1563" s="509"/>
      <c r="L1563" s="509"/>
      <c r="M1563" s="211"/>
      <c r="N1563" s="211"/>
      <c r="O1563" s="845"/>
      <c r="P1563" s="845"/>
    </row>
    <row r="1564" spans="1:16" ht="15" customHeight="1">
      <c r="A1564" s="111"/>
      <c r="B1564" s="34" t="s">
        <v>286</v>
      </c>
      <c r="C1564" s="4">
        <v>0</v>
      </c>
      <c r="D1564" s="5">
        <v>0</v>
      </c>
      <c r="E1564" s="4">
        <v>0</v>
      </c>
      <c r="F1564" s="5">
        <v>0</v>
      </c>
      <c r="G1564" s="4">
        <v>0</v>
      </c>
      <c r="H1564" s="5">
        <v>0</v>
      </c>
      <c r="I1564" s="4"/>
      <c r="J1564" s="3"/>
      <c r="K1564" s="509"/>
      <c r="L1564" s="509"/>
      <c r="M1564" s="211"/>
      <c r="N1564" s="211"/>
      <c r="O1564" s="845"/>
      <c r="P1564" s="845"/>
    </row>
    <row r="1565" spans="1:16" ht="17.25" customHeight="1" thickBot="1">
      <c r="A1565" s="95" t="s">
        <v>883</v>
      </c>
      <c r="B1565" s="152" t="s">
        <v>287</v>
      </c>
      <c r="C1565" s="751">
        <f aca="true" t="shared" si="36" ref="C1565:H1565">CEILING((C1562*0.7),0.1)</f>
        <v>25.5</v>
      </c>
      <c r="D1565" s="751">
        <f t="shared" si="36"/>
        <v>36.4</v>
      </c>
      <c r="E1565" s="751">
        <f t="shared" si="36"/>
        <v>27.3</v>
      </c>
      <c r="F1565" s="751">
        <f t="shared" si="36"/>
        <v>38.300000000000004</v>
      </c>
      <c r="G1565" s="751">
        <f t="shared" si="36"/>
        <v>25.5</v>
      </c>
      <c r="H1565" s="751">
        <f t="shared" si="36"/>
        <v>36.4</v>
      </c>
      <c r="I1565" s="4"/>
      <c r="J1565" s="144"/>
      <c r="K1565" s="509"/>
      <c r="L1565" s="509"/>
      <c r="M1565" s="211"/>
      <c r="N1565" s="211"/>
      <c r="O1565" s="845"/>
      <c r="P1565" s="845"/>
    </row>
    <row r="1566" spans="1:16" ht="17.25" customHeight="1" thickTop="1">
      <c r="A1566" s="215" t="s">
        <v>526</v>
      </c>
      <c r="B1566" s="443"/>
      <c r="C1566" s="144"/>
      <c r="D1566" s="144"/>
      <c r="E1566" s="144"/>
      <c r="F1566" s="144"/>
      <c r="G1566" s="144"/>
      <c r="H1566" s="144"/>
      <c r="I1566" s="144"/>
      <c r="J1566" s="297"/>
      <c r="K1566" s="509"/>
      <c r="L1566" s="509"/>
      <c r="M1566" s="211"/>
      <c r="N1566" s="211"/>
      <c r="O1566" s="845"/>
      <c r="P1566" s="845"/>
    </row>
    <row r="1567" spans="1:14" ht="18" customHeight="1">
      <c r="A1567" s="193"/>
      <c r="B1567" s="193"/>
      <c r="C1567" s="193"/>
      <c r="D1567" s="193"/>
      <c r="E1567" s="193"/>
      <c r="F1567" s="193"/>
      <c r="G1567" s="193"/>
      <c r="H1567" s="193"/>
      <c r="I1567" s="193"/>
      <c r="J1567" s="148"/>
      <c r="K1567" s="509"/>
      <c r="L1567" s="509"/>
      <c r="M1567" s="211"/>
      <c r="N1567" s="211"/>
    </row>
    <row r="1568" spans="1:14" ht="17.25" customHeight="1">
      <c r="A1568" s="368" t="s">
        <v>349</v>
      </c>
      <c r="B1568" s="148"/>
      <c r="C1568" s="148"/>
      <c r="D1568" s="148"/>
      <c r="E1568" s="148"/>
      <c r="F1568" s="148"/>
      <c r="G1568" s="148"/>
      <c r="H1568" s="148"/>
      <c r="I1568" s="148"/>
      <c r="J1568" s="148"/>
      <c r="K1568" s="509"/>
      <c r="L1568" s="509"/>
      <c r="M1568" s="211"/>
      <c r="N1568" s="211"/>
    </row>
    <row r="1569" spans="1:14" ht="13.5" customHeight="1" thickBot="1">
      <c r="A1569" s="147"/>
      <c r="B1569" s="147"/>
      <c r="C1569" s="147"/>
      <c r="D1569" s="147"/>
      <c r="E1569" s="147"/>
      <c r="F1569" s="147"/>
      <c r="G1569" s="147"/>
      <c r="H1569" s="147"/>
      <c r="I1569" s="147"/>
      <c r="J1569" s="304"/>
      <c r="K1569" s="505"/>
      <c r="L1569" s="509"/>
      <c r="M1569" s="218"/>
      <c r="N1569" s="211"/>
    </row>
    <row r="1570" spans="1:14" ht="21.75" customHeight="1" thickTop="1">
      <c r="A1570" s="10" t="s">
        <v>74</v>
      </c>
      <c r="B1570" s="108"/>
      <c r="C1570" s="889" t="s">
        <v>665</v>
      </c>
      <c r="D1570" s="890"/>
      <c r="E1570" s="858" t="s">
        <v>716</v>
      </c>
      <c r="F1570" s="859"/>
      <c r="G1570" s="860" t="s">
        <v>721</v>
      </c>
      <c r="H1570" s="862"/>
      <c r="I1570" s="860" t="s">
        <v>668</v>
      </c>
      <c r="J1570" s="862"/>
      <c r="K1570" s="657"/>
      <c r="L1570" s="509"/>
      <c r="M1570" s="18"/>
      <c r="N1570" s="22"/>
    </row>
    <row r="1571" spans="1:13" ht="16.5" customHeight="1">
      <c r="A1571" s="132" t="s">
        <v>252</v>
      </c>
      <c r="B1571" s="238" t="s">
        <v>253</v>
      </c>
      <c r="C1571" s="840">
        <f>CEILING(99*$Z$1,0.1)</f>
        <v>128.70000000000002</v>
      </c>
      <c r="D1571" s="844"/>
      <c r="E1571" s="840">
        <f>CEILING(171*$Z$1,0.1)</f>
        <v>222.3</v>
      </c>
      <c r="F1571" s="844"/>
      <c r="G1571" s="840">
        <f>CEILING(121*$Z$1,0.1)</f>
        <v>157.3</v>
      </c>
      <c r="H1571" s="844"/>
      <c r="I1571" s="840">
        <f>CEILING(99*$Z$1,0.1)</f>
        <v>128.70000000000002</v>
      </c>
      <c r="J1571" s="844"/>
      <c r="K1571" s="658"/>
      <c r="L1571" s="509"/>
      <c r="M1571" s="244"/>
    </row>
    <row r="1572" spans="1:13" ht="16.5" customHeight="1">
      <c r="A1572" s="232" t="s">
        <v>91</v>
      </c>
      <c r="B1572" s="238" t="s">
        <v>254</v>
      </c>
      <c r="C1572" s="840">
        <f>CEILING(121*$Z$1,0.1)</f>
        <v>157.3</v>
      </c>
      <c r="D1572" s="841"/>
      <c r="E1572" s="840">
        <f>CEILING(204*$Z$1,0.1)</f>
        <v>265.2</v>
      </c>
      <c r="F1572" s="841"/>
      <c r="G1572" s="840">
        <f>CEILING(149*$Z$1,0.1)</f>
        <v>193.70000000000002</v>
      </c>
      <c r="H1572" s="841"/>
      <c r="I1572" s="840">
        <f>CEILING(121*$Z$1,0.1)</f>
        <v>157.3</v>
      </c>
      <c r="J1572" s="841"/>
      <c r="K1572" s="659"/>
      <c r="L1572" s="508"/>
      <c r="M1572" s="244"/>
    </row>
    <row r="1573" spans="1:13" ht="16.5" customHeight="1" thickBot="1">
      <c r="A1573" s="104" t="s">
        <v>882</v>
      </c>
      <c r="B1573" s="239" t="s">
        <v>255</v>
      </c>
      <c r="C1573" s="846">
        <f>CEILING(143*$Z$1,0.1)</f>
        <v>185.9</v>
      </c>
      <c r="D1573" s="848"/>
      <c r="E1573" s="846">
        <f>CEILING(237*$Z$1,0.1)</f>
        <v>308.1</v>
      </c>
      <c r="F1573" s="848"/>
      <c r="G1573" s="846">
        <f>CEILING(176*$Z$1,0.1)</f>
        <v>228.8</v>
      </c>
      <c r="H1573" s="848"/>
      <c r="I1573" s="846">
        <f>CEILING(143*$Z$1,0.1)</f>
        <v>185.9</v>
      </c>
      <c r="J1573" s="848"/>
      <c r="K1573" s="659"/>
      <c r="L1573" s="518"/>
      <c r="M1573" s="244"/>
    </row>
    <row r="1574" spans="1:13" ht="17.25" customHeight="1" thickTop="1">
      <c r="A1574" s="986" t="s">
        <v>525</v>
      </c>
      <c r="B1574" s="986"/>
      <c r="C1574" s="987"/>
      <c r="D1574" s="987"/>
      <c r="E1574" s="987"/>
      <c r="F1574" s="987"/>
      <c r="G1574" s="987"/>
      <c r="H1574" s="987"/>
      <c r="I1574" s="656"/>
      <c r="J1574" s="656"/>
      <c r="K1574" s="503"/>
      <c r="L1574" s="518"/>
      <c r="M1574" s="244"/>
    </row>
    <row r="1575" spans="1:25" s="245" customFormat="1" ht="20.25" customHeight="1" thickBot="1">
      <c r="A1575" s="54"/>
      <c r="B1575" s="54"/>
      <c r="C1575" s="54"/>
      <c r="D1575" s="54"/>
      <c r="E1575" s="54"/>
      <c r="F1575" s="54"/>
      <c r="G1575" s="54"/>
      <c r="H1575" s="54"/>
      <c r="I1575" s="656"/>
      <c r="J1575" s="556"/>
      <c r="K1575" s="531"/>
      <c r="L1575" s="531"/>
      <c r="M1575" s="271"/>
      <c r="N1575" s="244"/>
      <c r="O1575" s="244"/>
      <c r="P1575" s="244"/>
      <c r="Q1575" s="244"/>
      <c r="R1575" s="244"/>
      <c r="S1575" s="244"/>
      <c r="T1575" s="244"/>
      <c r="U1575" s="244"/>
      <c r="V1575" s="244"/>
      <c r="W1575" s="244"/>
      <c r="X1575" s="244"/>
      <c r="Y1575" s="244"/>
    </row>
    <row r="1576" spans="1:25" s="245" customFormat="1" ht="18.75" customHeight="1" thickTop="1">
      <c r="A1576" s="10" t="s">
        <v>74</v>
      </c>
      <c r="B1576" s="437" t="s">
        <v>148</v>
      </c>
      <c r="C1576" s="889" t="s">
        <v>665</v>
      </c>
      <c r="D1576" s="890"/>
      <c r="E1576" s="858" t="s">
        <v>716</v>
      </c>
      <c r="F1576" s="859"/>
      <c r="G1576" s="860" t="s">
        <v>723</v>
      </c>
      <c r="H1576" s="862"/>
      <c r="I1576" s="617"/>
      <c r="J1576" s="645"/>
      <c r="K1576" s="531"/>
      <c r="L1576" s="531"/>
      <c r="M1576" s="244"/>
      <c r="N1576" s="244"/>
      <c r="O1576" s="244"/>
      <c r="P1576" s="244"/>
      <c r="Q1576" s="244"/>
      <c r="R1576" s="244"/>
      <c r="S1576" s="244"/>
      <c r="T1576" s="244"/>
      <c r="U1576" s="244"/>
      <c r="V1576" s="244"/>
      <c r="W1576" s="244"/>
      <c r="X1576" s="244"/>
      <c r="Y1576" s="244"/>
    </row>
    <row r="1577" spans="1:25" s="245" customFormat="1" ht="15.75" customHeight="1">
      <c r="A1577" s="39" t="s">
        <v>256</v>
      </c>
      <c r="B1577" s="45" t="s">
        <v>82</v>
      </c>
      <c r="C1577" s="840">
        <f>CEILING(61*$Z$1,0.1)</f>
        <v>79.30000000000001</v>
      </c>
      <c r="D1577" s="844"/>
      <c r="E1577" s="840">
        <f>CEILING(75*$Z$1,0.1)</f>
        <v>97.5</v>
      </c>
      <c r="F1577" s="844"/>
      <c r="G1577" s="840">
        <f>CEILING(87*$Z$1,0.1)</f>
        <v>113.10000000000001</v>
      </c>
      <c r="H1577" s="844"/>
      <c r="I1577" s="842"/>
      <c r="J1577" s="845"/>
      <c r="K1577" s="440"/>
      <c r="L1577" s="440"/>
      <c r="M1577" s="244"/>
      <c r="N1577" s="244"/>
      <c r="O1577" s="244"/>
      <c r="P1577" s="244"/>
      <c r="Q1577" s="244"/>
      <c r="R1577" s="244"/>
      <c r="S1577" s="244"/>
      <c r="T1577" s="244"/>
      <c r="U1577" s="244"/>
      <c r="V1577" s="244"/>
      <c r="W1577" s="244"/>
      <c r="X1577" s="244"/>
      <c r="Y1577" s="244"/>
    </row>
    <row r="1578" spans="1:25" s="245" customFormat="1" ht="17.25" customHeight="1">
      <c r="A1578" s="40" t="s">
        <v>130</v>
      </c>
      <c r="B1578" s="14" t="s">
        <v>83</v>
      </c>
      <c r="C1578" s="840">
        <f>_xlfn.CEILING.MATH((C1577+30*$Z$1),0.1)</f>
        <v>118.30000000000001</v>
      </c>
      <c r="D1578" s="841"/>
      <c r="E1578" s="840">
        <f>_xlfn.CEILING.MATH((E1577+30*$Z$1),0.1)</f>
        <v>136.5</v>
      </c>
      <c r="F1578" s="841"/>
      <c r="G1578" s="840">
        <f>_xlfn.CEILING.MATH((G1577+30*$Z$1),0.1)</f>
        <v>152.1</v>
      </c>
      <c r="H1578" s="841"/>
      <c r="I1578" s="842"/>
      <c r="J1578" s="845"/>
      <c r="K1578" s="440"/>
      <c r="L1578" s="440"/>
      <c r="M1578" s="244"/>
      <c r="N1578" s="244"/>
      <c r="O1578" s="244"/>
      <c r="P1578" s="244"/>
      <c r="Q1578" s="244"/>
      <c r="R1578" s="244"/>
      <c r="S1578" s="244"/>
      <c r="T1578" s="244"/>
      <c r="U1578" s="244"/>
      <c r="V1578" s="244"/>
      <c r="W1578" s="244"/>
      <c r="X1578" s="244"/>
      <c r="Y1578" s="244"/>
    </row>
    <row r="1579" spans="1:25" s="245" customFormat="1" ht="15.75" customHeight="1">
      <c r="A1579" s="40"/>
      <c r="B1579" s="13" t="s">
        <v>116</v>
      </c>
      <c r="C1579" s="840">
        <f>CEILING((C1577*0.85),0.1)</f>
        <v>67.5</v>
      </c>
      <c r="D1579" s="841"/>
      <c r="E1579" s="840">
        <f>CEILING((E1577*0.85),0.1)</f>
        <v>82.9</v>
      </c>
      <c r="F1579" s="841"/>
      <c r="G1579" s="840">
        <f>CEILING((G1577*0.85),0.1)</f>
        <v>96.2</v>
      </c>
      <c r="H1579" s="841"/>
      <c r="I1579" s="842"/>
      <c r="J1579" s="845"/>
      <c r="K1579" s="440"/>
      <c r="L1579" s="440"/>
      <c r="M1579" s="244"/>
      <c r="N1579" s="244"/>
      <c r="O1579" s="244"/>
      <c r="P1579" s="244"/>
      <c r="Q1579" s="244"/>
      <c r="R1579" s="244"/>
      <c r="S1579" s="244"/>
      <c r="T1579" s="244"/>
      <c r="U1579" s="244"/>
      <c r="V1579" s="244"/>
      <c r="W1579" s="244"/>
      <c r="X1579" s="244"/>
      <c r="Y1579" s="244"/>
    </row>
    <row r="1580" spans="1:25" s="245" customFormat="1" ht="16.5" customHeight="1" thickBot="1">
      <c r="A1580" s="104" t="s">
        <v>881</v>
      </c>
      <c r="B1580" s="15" t="s">
        <v>523</v>
      </c>
      <c r="C1580" s="887">
        <v>0</v>
      </c>
      <c r="D1580" s="913"/>
      <c r="E1580" s="883">
        <v>0</v>
      </c>
      <c r="F1580" s="884"/>
      <c r="G1580" s="887">
        <v>0</v>
      </c>
      <c r="H1580" s="913"/>
      <c r="I1580" s="842"/>
      <c r="J1580" s="845"/>
      <c r="K1580" s="440"/>
      <c r="L1580" s="440"/>
      <c r="M1580" s="244"/>
      <c r="N1580" s="244"/>
      <c r="O1580" s="244"/>
      <c r="P1580" s="244"/>
      <c r="Q1580" s="244"/>
      <c r="R1580" s="244"/>
      <c r="S1580" s="244"/>
      <c r="T1580" s="244"/>
      <c r="U1580" s="244"/>
      <c r="V1580" s="244"/>
      <c r="W1580" s="244"/>
      <c r="X1580" s="244"/>
      <c r="Y1580" s="244"/>
    </row>
    <row r="1581" spans="1:25" s="245" customFormat="1" ht="16.5" customHeight="1" thickTop="1">
      <c r="A1581" s="144" t="s">
        <v>524</v>
      </c>
      <c r="B1581" s="60"/>
      <c r="C1581" s="431"/>
      <c r="D1581" s="431"/>
      <c r="E1581" s="644"/>
      <c r="F1581" s="644"/>
      <c r="G1581" s="431"/>
      <c r="H1581" s="431"/>
      <c r="I1581" s="644"/>
      <c r="J1581" s="644"/>
      <c r="K1581" s="440"/>
      <c r="L1581" s="440"/>
      <c r="M1581" s="244"/>
      <c r="N1581" s="244"/>
      <c r="O1581" s="244"/>
      <c r="P1581" s="244"/>
      <c r="Q1581" s="244"/>
      <c r="R1581" s="244"/>
      <c r="S1581" s="244"/>
      <c r="T1581" s="244"/>
      <c r="U1581" s="244"/>
      <c r="V1581" s="244"/>
      <c r="W1581" s="244"/>
      <c r="X1581" s="244"/>
      <c r="Y1581" s="244"/>
    </row>
    <row r="1582" spans="1:25" s="245" customFormat="1" ht="20.25" customHeight="1" thickBot="1">
      <c r="A1582" s="71"/>
      <c r="B1582" s="71"/>
      <c r="C1582" s="71"/>
      <c r="D1582" s="71"/>
      <c r="E1582" s="71"/>
      <c r="F1582" s="71"/>
      <c r="G1582" s="72"/>
      <c r="H1582" s="72"/>
      <c r="I1582" s="72"/>
      <c r="J1582" s="290"/>
      <c r="K1582" s="241"/>
      <c r="L1582" s="503"/>
      <c r="M1582" s="244"/>
      <c r="N1582" s="244"/>
      <c r="O1582" s="244"/>
      <c r="P1582" s="244"/>
      <c r="Q1582" s="244"/>
      <c r="R1582" s="244"/>
      <c r="S1582" s="244"/>
      <c r="T1582" s="244"/>
      <c r="U1582" s="244"/>
      <c r="V1582" s="244"/>
      <c r="W1582" s="244"/>
      <c r="X1582" s="244"/>
      <c r="Y1582" s="244"/>
    </row>
    <row r="1583" spans="1:25" s="245" customFormat="1" ht="19.5" customHeight="1" thickTop="1">
      <c r="A1583" s="79" t="s">
        <v>74</v>
      </c>
      <c r="B1583" s="437" t="s">
        <v>148</v>
      </c>
      <c r="C1583" s="860" t="s">
        <v>877</v>
      </c>
      <c r="D1583" s="930"/>
      <c r="E1583" s="983" t="s">
        <v>878</v>
      </c>
      <c r="F1583" s="984"/>
      <c r="G1583" s="981"/>
      <c r="H1583" s="982"/>
      <c r="I1583" s="857"/>
      <c r="J1583" s="857"/>
      <c r="K1583" s="241"/>
      <c r="L1583" s="503"/>
      <c r="M1583" s="244"/>
      <c r="N1583" s="244"/>
      <c r="O1583" s="244"/>
      <c r="P1583" s="244"/>
      <c r="Q1583" s="244"/>
      <c r="R1583" s="244"/>
      <c r="S1583" s="244"/>
      <c r="T1583" s="244"/>
      <c r="U1583" s="244"/>
      <c r="V1583" s="244"/>
      <c r="W1583" s="244"/>
      <c r="X1583" s="244"/>
      <c r="Y1583" s="244"/>
    </row>
    <row r="1584" spans="1:25" s="245" customFormat="1" ht="15.75" customHeight="1">
      <c r="A1584" s="303" t="s">
        <v>257</v>
      </c>
      <c r="B1584" s="101" t="s">
        <v>82</v>
      </c>
      <c r="C1584" s="892"/>
      <c r="D1584" s="894"/>
      <c r="E1584" s="892"/>
      <c r="F1584" s="893"/>
      <c r="G1584" s="842"/>
      <c r="H1584" s="845"/>
      <c r="I1584" s="845"/>
      <c r="J1584" s="845"/>
      <c r="K1584" s="241"/>
      <c r="L1584" s="503"/>
      <c r="M1584" s="244"/>
      <c r="N1584" s="244"/>
      <c r="O1584" s="244"/>
      <c r="P1584" s="244"/>
      <c r="Q1584" s="244"/>
      <c r="R1584" s="244"/>
      <c r="S1584" s="244"/>
      <c r="T1584" s="244"/>
      <c r="U1584" s="244"/>
      <c r="V1584" s="244"/>
      <c r="W1584" s="244"/>
      <c r="X1584" s="244"/>
      <c r="Y1584" s="244"/>
    </row>
    <row r="1585" spans="1:25" s="245" customFormat="1" ht="15" customHeight="1">
      <c r="A1585" s="262" t="s">
        <v>250</v>
      </c>
      <c r="B1585" s="34" t="s">
        <v>83</v>
      </c>
      <c r="C1585" s="842"/>
      <c r="D1585" s="843"/>
      <c r="E1585" s="842"/>
      <c r="F1585" s="845"/>
      <c r="G1585" s="842"/>
      <c r="H1585" s="845"/>
      <c r="I1585" s="845"/>
      <c r="J1585" s="845"/>
      <c r="K1585" s="241"/>
      <c r="L1585" s="503"/>
      <c r="M1585" s="244"/>
      <c r="N1585" s="244"/>
      <c r="O1585" s="244"/>
      <c r="P1585" s="244"/>
      <c r="Q1585" s="244"/>
      <c r="R1585" s="244"/>
      <c r="S1585" s="244"/>
      <c r="T1585" s="244"/>
      <c r="U1585" s="244"/>
      <c r="V1585" s="244"/>
      <c r="W1585" s="244"/>
      <c r="X1585" s="244"/>
      <c r="Y1585" s="244"/>
    </row>
    <row r="1586" spans="1:25" s="245" customFormat="1" ht="18" customHeight="1">
      <c r="A1586" s="99"/>
      <c r="B1586" s="167" t="s">
        <v>116</v>
      </c>
      <c r="C1586" s="842"/>
      <c r="D1586" s="843"/>
      <c r="E1586" s="842"/>
      <c r="F1586" s="843"/>
      <c r="G1586" s="842"/>
      <c r="H1586" s="845"/>
      <c r="I1586" s="845"/>
      <c r="J1586" s="845"/>
      <c r="K1586" s="241"/>
      <c r="L1586" s="503"/>
      <c r="M1586" s="244"/>
      <c r="N1586" s="244"/>
      <c r="O1586" s="244"/>
      <c r="P1586" s="244"/>
      <c r="Q1586" s="244"/>
      <c r="R1586" s="244"/>
      <c r="S1586" s="244"/>
      <c r="T1586" s="244"/>
      <c r="U1586" s="244"/>
      <c r="V1586" s="244"/>
      <c r="W1586" s="244"/>
      <c r="X1586" s="244"/>
      <c r="Y1586" s="244"/>
    </row>
    <row r="1587" spans="1:25" s="245" customFormat="1" ht="17.25" customHeight="1" thickBot="1">
      <c r="A1587" s="268" t="s">
        <v>880</v>
      </c>
      <c r="B1587" s="635" t="s">
        <v>132</v>
      </c>
      <c r="C1587" s="883"/>
      <c r="D1587" s="884"/>
      <c r="E1587" s="883"/>
      <c r="F1587" s="884"/>
      <c r="G1587" s="842"/>
      <c r="H1587" s="845"/>
      <c r="I1587" s="845"/>
      <c r="J1587" s="845"/>
      <c r="K1587" s="241"/>
      <c r="L1587" s="503"/>
      <c r="M1587" s="244"/>
      <c r="N1587" s="244"/>
      <c r="O1587" s="244"/>
      <c r="P1587" s="244"/>
      <c r="Q1587" s="244"/>
      <c r="R1587" s="244"/>
      <c r="S1587" s="244"/>
      <c r="T1587" s="244"/>
      <c r="U1587" s="244"/>
      <c r="V1587" s="244"/>
      <c r="W1587" s="244"/>
      <c r="X1587" s="244"/>
      <c r="Y1587" s="244"/>
    </row>
    <row r="1588" spans="1:25" s="245" customFormat="1" ht="17.25" customHeight="1" thickTop="1">
      <c r="A1588" s="634" t="s">
        <v>504</v>
      </c>
      <c r="B1588" s="60"/>
      <c r="C1588" s="3"/>
      <c r="D1588" s="3"/>
      <c r="E1588" s="3"/>
      <c r="F1588" s="3"/>
      <c r="G1588" s="624"/>
      <c r="H1588" s="624"/>
      <c r="I1588" s="624"/>
      <c r="J1588" s="624"/>
      <c r="K1588" s="503"/>
      <c r="L1588" s="503"/>
      <c r="M1588" s="244"/>
      <c r="N1588" s="244"/>
      <c r="O1588" s="244"/>
      <c r="P1588" s="244"/>
      <c r="Q1588" s="244"/>
      <c r="R1588" s="244"/>
      <c r="S1588" s="244"/>
      <c r="T1588" s="244"/>
      <c r="U1588" s="244"/>
      <c r="V1588" s="244"/>
      <c r="W1588" s="244"/>
      <c r="X1588" s="244"/>
      <c r="Y1588" s="244"/>
    </row>
    <row r="1589" spans="1:25" s="245" customFormat="1" ht="12" customHeight="1">
      <c r="A1589" s="252"/>
      <c r="B1589" s="252"/>
      <c r="C1589" s="252"/>
      <c r="D1589" s="252"/>
      <c r="E1589" s="252"/>
      <c r="F1589" s="252"/>
      <c r="G1589" s="252"/>
      <c r="H1589" s="252"/>
      <c r="I1589" s="250"/>
      <c r="J1589" s="251"/>
      <c r="K1589" s="503"/>
      <c r="L1589" s="503"/>
      <c r="M1589" s="244"/>
      <c r="N1589" s="244"/>
      <c r="O1589" s="244"/>
      <c r="P1589" s="244"/>
      <c r="Q1589" s="244"/>
      <c r="R1589" s="244"/>
      <c r="S1589" s="244"/>
      <c r="T1589" s="244"/>
      <c r="U1589" s="244"/>
      <c r="V1589" s="244"/>
      <c r="W1589" s="244"/>
      <c r="X1589" s="244"/>
      <c r="Y1589" s="244"/>
    </row>
    <row r="1590" spans="1:25" s="245" customFormat="1" ht="16.5" customHeight="1">
      <c r="A1590" s="985" t="s">
        <v>594</v>
      </c>
      <c r="B1590" s="985"/>
      <c r="C1590" s="985"/>
      <c r="D1590" s="985"/>
      <c r="E1590" s="985"/>
      <c r="F1590" s="985"/>
      <c r="G1590" s="985"/>
      <c r="H1590" s="961"/>
      <c r="I1590" s="961"/>
      <c r="J1590" s="252"/>
      <c r="K1590" s="503"/>
      <c r="L1590" s="503"/>
      <c r="M1590" s="244"/>
      <c r="N1590" s="244"/>
      <c r="O1590" s="244"/>
      <c r="P1590" s="244"/>
      <c r="Q1590" s="244"/>
      <c r="R1590" s="244"/>
      <c r="S1590" s="244"/>
      <c r="T1590" s="244"/>
      <c r="U1590" s="244"/>
      <c r="V1590" s="244"/>
      <c r="W1590" s="244"/>
      <c r="X1590" s="244"/>
      <c r="Y1590" s="244"/>
    </row>
    <row r="1591" spans="1:16" s="551" customFormat="1" ht="15" customHeight="1">
      <c r="A1591" s="582"/>
      <c r="B1591" s="583"/>
      <c r="C1591" s="583"/>
      <c r="D1591" s="583"/>
      <c r="E1591" s="583"/>
      <c r="F1591" s="583"/>
      <c r="G1591" s="583"/>
      <c r="H1591" s="583"/>
      <c r="I1591" s="584"/>
      <c r="J1591" s="584"/>
      <c r="K1591" s="555"/>
      <c r="L1591" s="555"/>
      <c r="O1591" s="845"/>
      <c r="P1591" s="845"/>
    </row>
    <row r="1592" spans="1:16" ht="18.75" customHeight="1">
      <c r="A1592" s="995" t="s">
        <v>0</v>
      </c>
      <c r="B1592" s="995"/>
      <c r="C1592" s="995"/>
      <c r="D1592" s="995"/>
      <c r="E1592" s="995"/>
      <c r="F1592" s="995"/>
      <c r="G1592" s="995"/>
      <c r="H1592" s="995"/>
      <c r="I1592" s="995"/>
      <c r="J1592" s="995"/>
      <c r="K1592" s="503"/>
      <c r="L1592" s="503"/>
      <c r="M1592" s="244"/>
      <c r="O1592" s="845"/>
      <c r="P1592" s="845"/>
    </row>
    <row r="1593" spans="1:16" ht="15.75" customHeight="1" thickBot="1">
      <c r="A1593" s="482"/>
      <c r="B1593" s="482"/>
      <c r="C1593" s="482"/>
      <c r="D1593" s="482"/>
      <c r="E1593" s="482"/>
      <c r="F1593" s="482"/>
      <c r="G1593" s="482"/>
      <c r="H1593" s="482"/>
      <c r="I1593" s="483"/>
      <c r="J1593" s="84"/>
      <c r="K1593" s="503"/>
      <c r="L1593" s="503"/>
      <c r="M1593" s="244"/>
      <c r="O1593" s="845"/>
      <c r="P1593" s="845"/>
    </row>
    <row r="1594" spans="1:16" ht="24.75" customHeight="1" thickTop="1">
      <c r="A1594" s="64" t="s">
        <v>74</v>
      </c>
      <c r="B1594" s="481" t="s">
        <v>148</v>
      </c>
      <c r="C1594" s="889" t="s">
        <v>665</v>
      </c>
      <c r="D1594" s="890"/>
      <c r="E1594" s="858" t="s">
        <v>716</v>
      </c>
      <c r="F1594" s="859"/>
      <c r="G1594" s="860" t="s">
        <v>721</v>
      </c>
      <c r="H1594" s="861"/>
      <c r="I1594" s="860" t="s">
        <v>668</v>
      </c>
      <c r="J1594" s="862"/>
      <c r="K1594" s="665"/>
      <c r="L1594" s="503"/>
      <c r="M1594" s="244"/>
      <c r="O1594" s="845"/>
      <c r="P1594" s="845"/>
    </row>
    <row r="1595" spans="1:13" ht="15" customHeight="1">
      <c r="A1595" s="303" t="s">
        <v>407</v>
      </c>
      <c r="B1595" s="627" t="s">
        <v>82</v>
      </c>
      <c r="C1595" s="840">
        <f>CEILING(60*$Z$1,0.1)</f>
        <v>78</v>
      </c>
      <c r="D1595" s="844"/>
      <c r="E1595" s="840">
        <f>CEILING(115*$Z$1,0.1)</f>
        <v>149.5</v>
      </c>
      <c r="F1595" s="844"/>
      <c r="G1595" s="840">
        <f>CEILING(87*$Z$1,0.1)</f>
        <v>113.10000000000001</v>
      </c>
      <c r="H1595" s="844"/>
      <c r="I1595" s="840">
        <f>CEILING(82*$Z$1,0.1)</f>
        <v>106.60000000000001</v>
      </c>
      <c r="J1595" s="844"/>
      <c r="K1595" s="665"/>
      <c r="L1595" s="503"/>
      <c r="M1595" s="244"/>
    </row>
    <row r="1596" spans="1:25" s="245" customFormat="1" ht="17.25" customHeight="1">
      <c r="A1596" s="262" t="s">
        <v>91</v>
      </c>
      <c r="B1596" s="627" t="s">
        <v>83</v>
      </c>
      <c r="C1596" s="840">
        <f>_xlfn.CEILING.MATH((C1595+30*$Z$1),0.1)</f>
        <v>117</v>
      </c>
      <c r="D1596" s="841"/>
      <c r="E1596" s="840">
        <f>_xlfn.CEILING.MATH((E1595+30*$Z$1),0.1)</f>
        <v>188.5</v>
      </c>
      <c r="F1596" s="841"/>
      <c r="G1596" s="840">
        <f>_xlfn.CEILING.MATH((G1595+30*$Z$1),0.1)</f>
        <v>152.1</v>
      </c>
      <c r="H1596" s="841"/>
      <c r="I1596" s="840">
        <f>_xlfn.CEILING.MATH((I1595+30*$Z$1),0.1)</f>
        <v>145.6</v>
      </c>
      <c r="J1596" s="841"/>
      <c r="K1596" s="665"/>
      <c r="L1596" s="503"/>
      <c r="M1596" s="244"/>
      <c r="N1596" s="244"/>
      <c r="O1596" s="244"/>
      <c r="P1596" s="244"/>
      <c r="Q1596" s="244"/>
      <c r="R1596" s="244"/>
      <c r="S1596" s="244"/>
      <c r="T1596" s="244"/>
      <c r="U1596" s="244"/>
      <c r="V1596" s="244"/>
      <c r="W1596" s="244"/>
      <c r="X1596" s="244"/>
      <c r="Y1596" s="244"/>
    </row>
    <row r="1597" spans="1:25" s="245" customFormat="1" ht="15">
      <c r="A1597" s="99"/>
      <c r="B1597" s="628" t="s">
        <v>116</v>
      </c>
      <c r="C1597" s="840">
        <f>CEILING((C1595*0.85),0.1)</f>
        <v>66.3</v>
      </c>
      <c r="D1597" s="841"/>
      <c r="E1597" s="840">
        <f>CEILING((E1595*0.85),0.1)</f>
        <v>127.10000000000001</v>
      </c>
      <c r="F1597" s="841"/>
      <c r="G1597" s="840">
        <f>CEILING((G1595*0.85),0.1)</f>
        <v>96.2</v>
      </c>
      <c r="H1597" s="841"/>
      <c r="I1597" s="840">
        <f>CEILING((I1595*0.85),0.1)</f>
        <v>90.7</v>
      </c>
      <c r="J1597" s="841"/>
      <c r="K1597" s="503"/>
      <c r="L1597" s="503"/>
      <c r="M1597" s="244"/>
      <c r="N1597" s="244"/>
      <c r="O1597" s="244"/>
      <c r="P1597" s="244"/>
      <c r="Q1597" s="244"/>
      <c r="R1597" s="244"/>
      <c r="S1597" s="244"/>
      <c r="T1597" s="244"/>
      <c r="U1597" s="244"/>
      <c r="V1597" s="244"/>
      <c r="W1597" s="244"/>
      <c r="X1597" s="244"/>
      <c r="Y1597" s="244"/>
    </row>
    <row r="1598" spans="1:13" ht="15">
      <c r="A1598" s="99"/>
      <c r="B1598" s="629" t="s">
        <v>102</v>
      </c>
      <c r="C1598" s="840">
        <f>_xlfn.CEILING.MATH((C1595+15*$Z$1),0.1)</f>
        <v>97.5</v>
      </c>
      <c r="D1598" s="841"/>
      <c r="E1598" s="840">
        <f>_xlfn.CEILING.MATH((E1595+15*$Z$1),0.1)</f>
        <v>169</v>
      </c>
      <c r="F1598" s="841"/>
      <c r="G1598" s="840">
        <f>_xlfn.CEILING.MATH((G1595+15*$Z$1),0.1)</f>
        <v>132.6</v>
      </c>
      <c r="H1598" s="841"/>
      <c r="I1598" s="840">
        <f>_xlfn.CEILING.MATH((I1595+15*$Z$1),0.1)</f>
        <v>126.10000000000001</v>
      </c>
      <c r="J1598" s="841"/>
      <c r="K1598" s="503"/>
      <c r="L1598" s="503"/>
      <c r="M1598" s="244"/>
    </row>
    <row r="1599" spans="1:31" ht="15">
      <c r="A1599" s="99"/>
      <c r="B1599" s="627" t="s">
        <v>103</v>
      </c>
      <c r="C1599" s="840">
        <f>_xlfn.CEILING.MATH((C1598+30*$Z$1),0.1)</f>
        <v>136.5</v>
      </c>
      <c r="D1599" s="841"/>
      <c r="E1599" s="840">
        <f>_xlfn.CEILING.MATH((E1598+30*$Z$1),0.1)</f>
        <v>208</v>
      </c>
      <c r="F1599" s="841"/>
      <c r="G1599" s="840">
        <f>_xlfn.CEILING.MATH((G1598+30*$Z$1),0.1)</f>
        <v>171.60000000000002</v>
      </c>
      <c r="H1599" s="841"/>
      <c r="I1599" s="840">
        <f>_xlfn.CEILING.MATH((I1598+30*$Z$1),0.1)</f>
        <v>165.10000000000002</v>
      </c>
      <c r="J1599" s="841"/>
      <c r="K1599" s="503"/>
      <c r="L1599" s="503"/>
      <c r="M1599" s="244"/>
      <c r="Z1599" s="244"/>
      <c r="AA1599" s="244"/>
      <c r="AB1599" s="244"/>
      <c r="AC1599" s="244"/>
      <c r="AD1599" s="244"/>
      <c r="AE1599" s="244"/>
    </row>
    <row r="1600" spans="1:31" ht="15">
      <c r="A1600" s="99"/>
      <c r="B1600" s="629" t="s">
        <v>88</v>
      </c>
      <c r="C1600" s="840">
        <f>_xlfn.CEILING.MATH((C1595+30*$Z$1),0.1)</f>
        <v>117</v>
      </c>
      <c r="D1600" s="841"/>
      <c r="E1600" s="840">
        <f>_xlfn.CEILING.MATH((E1595+30*$Z$1),0.1)</f>
        <v>188.5</v>
      </c>
      <c r="F1600" s="841"/>
      <c r="G1600" s="840">
        <f>_xlfn.CEILING.MATH((G1595+30*$Z$1),0.1)</f>
        <v>152.1</v>
      </c>
      <c r="H1600" s="841"/>
      <c r="I1600" s="840">
        <f>_xlfn.CEILING.MATH((I1595+30*$Z$1),0.1)</f>
        <v>145.6</v>
      </c>
      <c r="J1600" s="841"/>
      <c r="K1600" s="503"/>
      <c r="L1600" s="503"/>
      <c r="M1600" s="244"/>
      <c r="Z1600" s="244"/>
      <c r="AA1600" s="244"/>
      <c r="AB1600" s="244"/>
      <c r="AC1600" s="244"/>
      <c r="AD1600" s="244"/>
      <c r="AE1600" s="244"/>
    </row>
    <row r="1601" spans="1:31" ht="15.75" thickBot="1">
      <c r="A1601" s="231" t="s">
        <v>926</v>
      </c>
      <c r="B1601" s="630" t="s">
        <v>89</v>
      </c>
      <c r="C1601" s="846">
        <f>_xlfn.CEILING.MATH((C1600+60*$Z$1),0.1)</f>
        <v>195</v>
      </c>
      <c r="D1601" s="848"/>
      <c r="E1601" s="846">
        <f>_xlfn.CEILING.MATH((E1600+60*$Z$1),0.1)</f>
        <v>266.5</v>
      </c>
      <c r="F1601" s="848"/>
      <c r="G1601" s="846">
        <f>_xlfn.CEILING.MATH((G1600+60*$Z$1),0.1)</f>
        <v>230.10000000000002</v>
      </c>
      <c r="H1601" s="848"/>
      <c r="I1601" s="846">
        <f>_xlfn.CEILING.MATH((I1600+60*$Z$1),0.1)</f>
        <v>223.60000000000002</v>
      </c>
      <c r="J1601" s="848"/>
      <c r="K1601" s="503"/>
      <c r="L1601" s="503"/>
      <c r="M1601" s="244"/>
      <c r="Z1601" s="244"/>
      <c r="AA1601" s="244"/>
      <c r="AB1601" s="244"/>
      <c r="AC1601" s="244"/>
      <c r="AD1601" s="244"/>
      <c r="AE1601" s="244"/>
    </row>
    <row r="1602" spans="1:31" ht="15.75" thickTop="1">
      <c r="A1602" s="448" t="s">
        <v>408</v>
      </c>
      <c r="B1602" s="252"/>
      <c r="C1602" s="252"/>
      <c r="D1602" s="252"/>
      <c r="E1602" s="252"/>
      <c r="F1602" s="252"/>
      <c r="G1602" s="252"/>
      <c r="H1602" s="252"/>
      <c r="I1602" s="252"/>
      <c r="J1602" s="165"/>
      <c r="K1602" s="503"/>
      <c r="L1602" s="503"/>
      <c r="M1602" s="244"/>
      <c r="Z1602" s="244"/>
      <c r="AA1602" s="244"/>
      <c r="AB1602" s="244"/>
      <c r="AC1602" s="244"/>
      <c r="AD1602" s="244"/>
      <c r="AE1602" s="244"/>
    </row>
    <row r="1603" spans="1:31" s="724" customFormat="1" ht="15.75" thickBot="1">
      <c r="A1603" s="448"/>
      <c r="B1603" s="252"/>
      <c r="C1603" s="483"/>
      <c r="D1603" s="483"/>
      <c r="E1603" s="483"/>
      <c r="F1603" s="483"/>
      <c r="G1603" s="483"/>
      <c r="H1603" s="483"/>
      <c r="I1603" s="483"/>
      <c r="J1603" s="84"/>
      <c r="K1603" s="503"/>
      <c r="L1603" s="503"/>
      <c r="M1603" s="244"/>
      <c r="N1603" s="244"/>
      <c r="O1603" s="244"/>
      <c r="P1603" s="244"/>
      <c r="Q1603" s="244"/>
      <c r="R1603" s="244"/>
      <c r="S1603" s="244"/>
      <c r="T1603" s="244"/>
      <c r="U1603" s="244"/>
      <c r="V1603" s="244"/>
      <c r="W1603" s="244"/>
      <c r="X1603" s="244"/>
      <c r="Y1603" s="244"/>
      <c r="Z1603" s="244"/>
      <c r="AA1603" s="244"/>
      <c r="AB1603" s="244"/>
      <c r="AC1603" s="244"/>
      <c r="AD1603" s="244"/>
      <c r="AE1603" s="244"/>
    </row>
    <row r="1604" spans="1:31" s="724" customFormat="1" ht="21.75" customHeight="1" thickTop="1">
      <c r="A1604" s="10" t="s">
        <v>74</v>
      </c>
      <c r="B1604" s="437" t="s">
        <v>148</v>
      </c>
      <c r="C1604" s="889" t="s">
        <v>665</v>
      </c>
      <c r="D1604" s="890"/>
      <c r="E1604" s="858" t="s">
        <v>716</v>
      </c>
      <c r="F1604" s="859"/>
      <c r="G1604" s="860" t="s">
        <v>721</v>
      </c>
      <c r="H1604" s="861"/>
      <c r="I1604" s="860" t="s">
        <v>668</v>
      </c>
      <c r="J1604" s="862"/>
      <c r="K1604" s="665"/>
      <c r="L1604" s="503"/>
      <c r="M1604" s="244"/>
      <c r="N1604" s="244"/>
      <c r="O1604" s="244"/>
      <c r="P1604" s="244"/>
      <c r="Q1604" s="244"/>
      <c r="R1604" s="244"/>
      <c r="S1604" s="244"/>
      <c r="T1604" s="244"/>
      <c r="U1604" s="244"/>
      <c r="V1604" s="244"/>
      <c r="W1604" s="244"/>
      <c r="X1604" s="244"/>
      <c r="Y1604" s="244"/>
      <c r="Z1604" s="244"/>
      <c r="AA1604" s="244"/>
      <c r="AB1604" s="244"/>
      <c r="AC1604" s="244"/>
      <c r="AD1604" s="244"/>
      <c r="AE1604" s="244"/>
    </row>
    <row r="1605" spans="1:31" s="724" customFormat="1" ht="15">
      <c r="A1605" s="39" t="s">
        <v>788</v>
      </c>
      <c r="B1605" s="45" t="s">
        <v>82</v>
      </c>
      <c r="C1605" s="840">
        <f>CEILING(32*$Z$1,0.1)</f>
        <v>41.6</v>
      </c>
      <c r="D1605" s="844"/>
      <c r="E1605" s="840">
        <f>CEILING(65*$Z$1,0.1)</f>
        <v>84.5</v>
      </c>
      <c r="F1605" s="844"/>
      <c r="G1605" s="840">
        <f>CEILING(44*$Z$1,0.1)</f>
        <v>57.2</v>
      </c>
      <c r="H1605" s="844"/>
      <c r="I1605" s="840">
        <f>CEILING(32*$Z$1,0.1)</f>
        <v>41.6</v>
      </c>
      <c r="J1605" s="844"/>
      <c r="K1605" s="665"/>
      <c r="L1605" s="503"/>
      <c r="M1605" s="244"/>
      <c r="N1605" s="244"/>
      <c r="O1605" s="244"/>
      <c r="P1605" s="244"/>
      <c r="Q1605" s="244"/>
      <c r="R1605" s="244"/>
      <c r="S1605" s="244"/>
      <c r="T1605" s="244"/>
      <c r="U1605" s="244"/>
      <c r="V1605" s="244"/>
      <c r="W1605" s="244"/>
      <c r="X1605" s="244"/>
      <c r="Y1605" s="244"/>
      <c r="Z1605" s="244"/>
      <c r="AA1605" s="244"/>
      <c r="AB1605" s="244"/>
      <c r="AC1605" s="244"/>
      <c r="AD1605" s="244"/>
      <c r="AE1605" s="244"/>
    </row>
    <row r="1606" spans="1:31" s="724" customFormat="1" ht="15">
      <c r="A1606" s="40" t="s">
        <v>130</v>
      </c>
      <c r="B1606" s="14" t="s">
        <v>83</v>
      </c>
      <c r="C1606" s="840">
        <f>_xlfn.CEILING.MATH((C1605+14*$Z$1),0.1)</f>
        <v>59.800000000000004</v>
      </c>
      <c r="D1606" s="841"/>
      <c r="E1606" s="840">
        <f>_xlfn.CEILING.MATH((E1605+14*$Z$1),0.1)</f>
        <v>102.7</v>
      </c>
      <c r="F1606" s="841"/>
      <c r="G1606" s="840">
        <f>_xlfn.CEILING.MATH((G1605+14*$Z$1),0.1)</f>
        <v>75.4</v>
      </c>
      <c r="H1606" s="841"/>
      <c r="I1606" s="840">
        <f>_xlfn.CEILING.MATH((I1605+14*$Z$1),0.1)</f>
        <v>59.800000000000004</v>
      </c>
      <c r="J1606" s="841"/>
      <c r="K1606" s="665"/>
      <c r="L1606" s="503"/>
      <c r="M1606" s="244"/>
      <c r="N1606" s="244"/>
      <c r="O1606" s="244"/>
      <c r="P1606" s="244"/>
      <c r="Q1606" s="244"/>
      <c r="R1606" s="244"/>
      <c r="S1606" s="244"/>
      <c r="T1606" s="244"/>
      <c r="U1606" s="244"/>
      <c r="V1606" s="244"/>
      <c r="W1606" s="244"/>
      <c r="X1606" s="244"/>
      <c r="Y1606" s="244"/>
      <c r="Z1606" s="244"/>
      <c r="AA1606" s="244"/>
      <c r="AB1606" s="244"/>
      <c r="AC1606" s="244"/>
      <c r="AD1606" s="244"/>
      <c r="AE1606" s="244"/>
    </row>
    <row r="1607" spans="1:31" s="724" customFormat="1" ht="15">
      <c r="A1607" s="40"/>
      <c r="B1607" s="13" t="s">
        <v>116</v>
      </c>
      <c r="C1607" s="840">
        <f>CEILING((C1605*0.85),0.1)</f>
        <v>35.4</v>
      </c>
      <c r="D1607" s="841"/>
      <c r="E1607" s="840">
        <f>CEILING((E1605*0.85),0.1)</f>
        <v>71.9</v>
      </c>
      <c r="F1607" s="841"/>
      <c r="G1607" s="840">
        <f>CEILING((G1605*0.85),0.1)</f>
        <v>48.7</v>
      </c>
      <c r="H1607" s="841"/>
      <c r="I1607" s="840">
        <f>CEILING((I1605*0.85),0.1)</f>
        <v>35.4</v>
      </c>
      <c r="J1607" s="841"/>
      <c r="K1607" s="665"/>
      <c r="L1607" s="503"/>
      <c r="M1607" s="244"/>
      <c r="N1607" s="244"/>
      <c r="O1607" s="244"/>
      <c r="P1607" s="244"/>
      <c r="Q1607" s="244"/>
      <c r="R1607" s="244"/>
      <c r="S1607" s="244"/>
      <c r="T1607" s="244"/>
      <c r="U1607" s="244"/>
      <c r="V1607" s="244"/>
      <c r="W1607" s="244"/>
      <c r="X1607" s="244"/>
      <c r="Y1607" s="244"/>
      <c r="Z1607" s="244"/>
      <c r="AA1607" s="244"/>
      <c r="AB1607" s="244"/>
      <c r="AC1607" s="244"/>
      <c r="AD1607" s="244"/>
      <c r="AE1607" s="244"/>
    </row>
    <row r="1608" spans="1:31" s="724" customFormat="1" ht="15.75" thickBot="1">
      <c r="A1608" s="104" t="s">
        <v>955</v>
      </c>
      <c r="B1608" s="635" t="s">
        <v>132</v>
      </c>
      <c r="C1608" s="887">
        <v>0</v>
      </c>
      <c r="D1608" s="913"/>
      <c r="E1608" s="887">
        <v>0</v>
      </c>
      <c r="F1608" s="913"/>
      <c r="G1608" s="887">
        <v>0</v>
      </c>
      <c r="H1608" s="913"/>
      <c r="I1608" s="887">
        <v>0</v>
      </c>
      <c r="J1608" s="913"/>
      <c r="K1608" s="665"/>
      <c r="L1608" s="503"/>
      <c r="M1608" s="244"/>
      <c r="N1608" s="244"/>
      <c r="O1608" s="244"/>
      <c r="P1608" s="244"/>
      <c r="Q1608" s="244"/>
      <c r="R1608" s="244"/>
      <c r="S1608" s="244"/>
      <c r="T1608" s="244"/>
      <c r="U1608" s="244"/>
      <c r="V1608" s="244"/>
      <c r="W1608" s="244"/>
      <c r="X1608" s="244"/>
      <c r="Y1608" s="244"/>
      <c r="Z1608" s="244"/>
      <c r="AA1608" s="244"/>
      <c r="AB1608" s="244"/>
      <c r="AC1608" s="244"/>
      <c r="AD1608" s="244"/>
      <c r="AE1608" s="244"/>
    </row>
    <row r="1609" spans="1:31" s="724" customFormat="1" ht="15.75" thickTop="1">
      <c r="A1609" s="448"/>
      <c r="B1609" s="252"/>
      <c r="C1609" s="252"/>
      <c r="D1609" s="252"/>
      <c r="E1609" s="252"/>
      <c r="F1609" s="252"/>
      <c r="G1609" s="252"/>
      <c r="H1609" s="252"/>
      <c r="I1609" s="252"/>
      <c r="J1609" s="165"/>
      <c r="K1609" s="503"/>
      <c r="L1609" s="503"/>
      <c r="M1609" s="244"/>
      <c r="N1609" s="244"/>
      <c r="O1609" s="244"/>
      <c r="P1609" s="244"/>
      <c r="Q1609" s="244"/>
      <c r="R1609" s="244"/>
      <c r="S1609" s="244"/>
      <c r="T1609" s="244"/>
      <c r="U1609" s="244"/>
      <c r="V1609" s="244"/>
      <c r="W1609" s="244"/>
      <c r="X1609" s="244"/>
      <c r="Y1609" s="244"/>
      <c r="Z1609" s="244"/>
      <c r="AA1609" s="244"/>
      <c r="AB1609" s="244"/>
      <c r="AC1609" s="244"/>
      <c r="AD1609" s="244"/>
      <c r="AE1609" s="244"/>
    </row>
    <row r="1610" spans="1:31" ht="15">
      <c r="A1610" s="448"/>
      <c r="B1610" s="252"/>
      <c r="C1610" s="252"/>
      <c r="D1610" s="252"/>
      <c r="E1610" s="252"/>
      <c r="F1610" s="252"/>
      <c r="G1610" s="252"/>
      <c r="H1610" s="252"/>
      <c r="I1610" s="252"/>
      <c r="J1610" s="165"/>
      <c r="K1610" s="503"/>
      <c r="L1610" s="503"/>
      <c r="M1610" s="244"/>
      <c r="Z1610" s="244"/>
      <c r="AA1610" s="244"/>
      <c r="AB1610" s="244"/>
      <c r="AC1610" s="244"/>
      <c r="AD1610" s="244"/>
      <c r="AE1610" s="244"/>
    </row>
    <row r="1611" spans="1:31" ht="19.5" customHeight="1">
      <c r="A1611" s="985" t="s">
        <v>593</v>
      </c>
      <c r="B1611" s="985"/>
      <c r="C1611" s="985"/>
      <c r="D1611" s="985"/>
      <c r="E1611" s="985"/>
      <c r="F1611" s="985"/>
      <c r="G1611" s="985"/>
      <c r="H1611" s="961"/>
      <c r="I1611" s="3"/>
      <c r="J1611" s="606"/>
      <c r="K1611" s="440"/>
      <c r="L1611" s="440"/>
      <c r="M1611" s="244"/>
      <c r="Z1611" s="244"/>
      <c r="AA1611" s="244"/>
      <c r="AB1611" s="244"/>
      <c r="AC1611" s="244"/>
      <c r="AD1611" s="244"/>
      <c r="AE1611" s="244"/>
    </row>
    <row r="1612" spans="1:31" ht="18" customHeight="1">
      <c r="A1612" s="448"/>
      <c r="B1612" s="252"/>
      <c r="C1612" s="252"/>
      <c r="D1612" s="252"/>
      <c r="E1612" s="252"/>
      <c r="F1612" s="252"/>
      <c r="G1612" s="252"/>
      <c r="H1612" s="252"/>
      <c r="I1612" s="252"/>
      <c r="J1612" s="165"/>
      <c r="K1612" s="241"/>
      <c r="L1612" s="241"/>
      <c r="M1612" s="244"/>
      <c r="Z1612" s="244"/>
      <c r="AA1612" s="244"/>
      <c r="AB1612" s="244"/>
      <c r="AC1612" s="244"/>
      <c r="AD1612" s="244"/>
      <c r="AE1612" s="244"/>
    </row>
    <row r="1613" spans="1:31" ht="18" customHeight="1">
      <c r="A1613" s="990" t="s">
        <v>258</v>
      </c>
      <c r="B1613" s="990"/>
      <c r="C1613" s="221"/>
      <c r="D1613" s="221"/>
      <c r="E1613" s="221"/>
      <c r="F1613" s="221"/>
      <c r="G1613" s="221"/>
      <c r="H1613" s="221"/>
      <c r="I1613" s="211"/>
      <c r="J1613" s="211"/>
      <c r="K1613" s="509"/>
      <c r="L1613" s="503"/>
      <c r="M1613" s="244"/>
      <c r="Z1613" s="244"/>
      <c r="AA1613" s="244"/>
      <c r="AB1613" s="244"/>
      <c r="AC1613" s="244"/>
      <c r="AD1613" s="244"/>
      <c r="AE1613" s="244"/>
    </row>
    <row r="1614" spans="1:31" ht="15.75" customHeight="1">
      <c r="A1614" s="994" t="s">
        <v>350</v>
      </c>
      <c r="B1614" s="994"/>
      <c r="C1614" s="221"/>
      <c r="D1614" s="221"/>
      <c r="E1614" s="221"/>
      <c r="F1614" s="221"/>
      <c r="G1614" s="221"/>
      <c r="H1614" s="221"/>
      <c r="I1614" s="211"/>
      <c r="J1614" s="211"/>
      <c r="K1614" s="509"/>
      <c r="L1614" s="503"/>
      <c r="M1614" s="244"/>
      <c r="Z1614" s="244"/>
      <c r="AA1614" s="244"/>
      <c r="AB1614" s="244"/>
      <c r="AC1614" s="244"/>
      <c r="AD1614" s="244"/>
      <c r="AE1614" s="244"/>
    </row>
    <row r="1615" spans="1:31" ht="20.25" customHeight="1">
      <c r="A1615" s="1004" t="s">
        <v>259</v>
      </c>
      <c r="B1615" s="1004"/>
      <c r="C1615" s="221"/>
      <c r="D1615" s="221"/>
      <c r="E1615" s="221"/>
      <c r="F1615" s="221"/>
      <c r="G1615" s="221"/>
      <c r="H1615" s="221"/>
      <c r="I1615" s="211"/>
      <c r="J1615" s="211"/>
      <c r="K1615" s="509"/>
      <c r="L1615" s="503"/>
      <c r="M1615" s="244"/>
      <c r="Z1615" s="244"/>
      <c r="AA1615" s="244"/>
      <c r="AB1615" s="244"/>
      <c r="AC1615" s="244"/>
      <c r="AD1615" s="244"/>
      <c r="AE1615" s="244"/>
    </row>
    <row r="1616" spans="1:31" ht="20.25" customHeight="1" thickBot="1">
      <c r="A1616" s="560"/>
      <c r="B1616" s="560"/>
      <c r="C1616" s="221"/>
      <c r="D1616" s="221"/>
      <c r="E1616" s="221"/>
      <c r="F1616" s="221"/>
      <c r="G1616" s="221"/>
      <c r="H1616" s="221"/>
      <c r="I1616" s="211"/>
      <c r="J1616" s="211"/>
      <c r="K1616" s="509"/>
      <c r="L1616" s="503"/>
      <c r="M1616" s="244"/>
      <c r="Z1616" s="244"/>
      <c r="AA1616" s="244"/>
      <c r="AB1616" s="244"/>
      <c r="AC1616" s="244"/>
      <c r="AD1616" s="244"/>
      <c r="AE1616" s="244"/>
    </row>
    <row r="1617" spans="1:31" ht="19.5" customHeight="1" thickBot="1">
      <c r="A1617" s="564" t="s">
        <v>423</v>
      </c>
      <c r="B1617" s="565"/>
      <c r="C1617" s="566"/>
      <c r="D1617" s="566"/>
      <c r="E1617" s="566"/>
      <c r="F1617" s="566"/>
      <c r="G1617" s="566"/>
      <c r="H1617" s="566"/>
      <c r="I1617" s="567"/>
      <c r="J1617" s="211"/>
      <c r="K1617" s="509"/>
      <c r="L1617" s="503"/>
      <c r="M1617" s="244"/>
      <c r="Z1617" s="244"/>
      <c r="AA1617" s="244"/>
      <c r="AB1617" s="244"/>
      <c r="AC1617" s="244"/>
      <c r="AD1617" s="244"/>
      <c r="AE1617" s="244"/>
    </row>
    <row r="1618" spans="1:31" ht="15">
      <c r="A1618" s="988" t="s">
        <v>260</v>
      </c>
      <c r="B1618" s="989"/>
      <c r="C1618" s="989"/>
      <c r="D1618" s="561"/>
      <c r="E1618" s="561"/>
      <c r="F1618" s="561"/>
      <c r="G1618" s="561"/>
      <c r="H1618" s="561"/>
      <c r="I1618" s="562"/>
      <c r="J1618" s="211"/>
      <c r="K1618" s="484"/>
      <c r="L1618" s="503"/>
      <c r="M1618" s="244"/>
      <c r="Z1618" s="244"/>
      <c r="AA1618" s="244"/>
      <c r="AB1618" s="244"/>
      <c r="AC1618" s="244"/>
      <c r="AD1618" s="244"/>
      <c r="AE1618" s="244"/>
    </row>
    <row r="1619" spans="1:31" ht="15.75">
      <c r="A1619" s="991" t="s">
        <v>261</v>
      </c>
      <c r="B1619" s="992"/>
      <c r="C1619" s="992"/>
      <c r="D1619" s="992"/>
      <c r="E1619" s="992"/>
      <c r="F1619" s="992"/>
      <c r="G1619" s="992"/>
      <c r="H1619" s="992"/>
      <c r="I1619" s="993"/>
      <c r="J1619" s="484"/>
      <c r="K1619" s="509"/>
      <c r="L1619" s="503"/>
      <c r="M1619" s="244"/>
      <c r="Z1619" s="244"/>
      <c r="AA1619" s="244"/>
      <c r="AB1619" s="244"/>
      <c r="AC1619" s="244"/>
      <c r="AD1619" s="244"/>
      <c r="AE1619" s="244"/>
    </row>
    <row r="1620" spans="1:31" ht="15">
      <c r="A1620" s="988" t="s">
        <v>262</v>
      </c>
      <c r="B1620" s="989"/>
      <c r="C1620" s="989"/>
      <c r="D1620" s="561"/>
      <c r="E1620" s="561"/>
      <c r="F1620" s="561"/>
      <c r="G1620" s="561"/>
      <c r="H1620" s="561"/>
      <c r="I1620" s="562"/>
      <c r="J1620" s="211"/>
      <c r="K1620" s="509"/>
      <c r="L1620" s="503"/>
      <c r="M1620" s="244"/>
      <c r="Z1620" s="244"/>
      <c r="AA1620" s="244"/>
      <c r="AB1620" s="244"/>
      <c r="AC1620" s="244"/>
      <c r="AD1620" s="244"/>
      <c r="AE1620" s="244"/>
    </row>
    <row r="1621" spans="1:31" ht="15">
      <c r="A1621" s="997" t="s">
        <v>43</v>
      </c>
      <c r="B1621" s="998"/>
      <c r="C1621" s="998"/>
      <c r="D1621" s="998"/>
      <c r="E1621" s="998"/>
      <c r="F1621" s="998"/>
      <c r="G1621" s="998"/>
      <c r="H1621" s="998"/>
      <c r="I1621" s="562"/>
      <c r="J1621" s="211"/>
      <c r="K1621" s="485"/>
      <c r="L1621" s="503"/>
      <c r="M1621" s="244"/>
      <c r="Z1621" s="244"/>
      <c r="AA1621" s="244"/>
      <c r="AB1621" s="244"/>
      <c r="AC1621" s="244"/>
      <c r="AD1621" s="244"/>
      <c r="AE1621" s="244"/>
    </row>
    <row r="1622" spans="1:31" ht="34.5" customHeight="1" thickBot="1">
      <c r="A1622" s="999" t="s">
        <v>987</v>
      </c>
      <c r="B1622" s="1000"/>
      <c r="C1622" s="1000"/>
      <c r="D1622" s="1000"/>
      <c r="E1622" s="1000"/>
      <c r="F1622" s="1000"/>
      <c r="G1622" s="1000"/>
      <c r="H1622" s="1000"/>
      <c r="I1622" s="563"/>
      <c r="J1622" s="485"/>
      <c r="K1622" s="516"/>
      <c r="L1622" s="503"/>
      <c r="M1622" s="244"/>
      <c r="Z1622" s="244"/>
      <c r="AA1622" s="244"/>
      <c r="AB1622" s="244"/>
      <c r="AC1622" s="244"/>
      <c r="AD1622" s="244"/>
      <c r="AE1622" s="244"/>
    </row>
    <row r="1623" spans="1:31" ht="38.25" customHeight="1">
      <c r="A1623" s="1001" t="s">
        <v>569</v>
      </c>
      <c r="B1623" s="1001"/>
      <c r="C1623" s="1001"/>
      <c r="D1623" s="1001"/>
      <c r="E1623" s="1001"/>
      <c r="F1623" s="1001"/>
      <c r="G1623" s="1001"/>
      <c r="H1623" s="1001"/>
      <c r="I1623" s="485"/>
      <c r="J1623" s="485"/>
      <c r="K1623" s="509"/>
      <c r="L1623" s="503"/>
      <c r="M1623" s="244"/>
      <c r="Z1623" s="244"/>
      <c r="AA1623" s="244"/>
      <c r="AB1623" s="244"/>
      <c r="AC1623" s="244"/>
      <c r="AD1623" s="244"/>
      <c r="AE1623" s="244"/>
    </row>
    <row r="1624" spans="1:31" ht="20.25" customHeight="1">
      <c r="A1624" s="996" t="s">
        <v>951</v>
      </c>
      <c r="B1624" s="996"/>
      <c r="C1624" s="996"/>
      <c r="D1624" s="996"/>
      <c r="E1624" s="996"/>
      <c r="F1624" s="996"/>
      <c r="G1624" s="996"/>
      <c r="H1624" s="996"/>
      <c r="I1624" s="996"/>
      <c r="J1624" s="996"/>
      <c r="K1624" s="509"/>
      <c r="L1624" s="503"/>
      <c r="M1624" s="244"/>
      <c r="Z1624" s="244"/>
      <c r="AA1624" s="244"/>
      <c r="AB1624" s="244"/>
      <c r="AC1624" s="244"/>
      <c r="AD1624" s="244"/>
      <c r="AE1624" s="244"/>
    </row>
    <row r="1625" spans="1:31" ht="24" customHeight="1">
      <c r="A1625" s="996" t="s">
        <v>988</v>
      </c>
      <c r="B1625" s="996"/>
      <c r="C1625" s="996"/>
      <c r="D1625" s="996"/>
      <c r="E1625" s="996"/>
      <c r="F1625" s="996"/>
      <c r="G1625" s="996"/>
      <c r="H1625" s="996"/>
      <c r="I1625" s="996"/>
      <c r="J1625" s="996"/>
      <c r="K1625" s="509"/>
      <c r="L1625" s="503"/>
      <c r="M1625" s="244"/>
      <c r="Z1625" s="244"/>
      <c r="AA1625" s="244"/>
      <c r="AB1625" s="244"/>
      <c r="AC1625" s="244"/>
      <c r="AD1625" s="244"/>
      <c r="AE1625" s="244"/>
    </row>
    <row r="1626" spans="1:31" s="724" customFormat="1" ht="21.75" customHeight="1">
      <c r="A1626" s="996" t="s">
        <v>956</v>
      </c>
      <c r="B1626" s="996"/>
      <c r="C1626" s="996"/>
      <c r="D1626" s="996"/>
      <c r="E1626" s="996"/>
      <c r="F1626" s="996"/>
      <c r="G1626" s="996"/>
      <c r="H1626" s="996"/>
      <c r="I1626" s="996"/>
      <c r="J1626" s="996"/>
      <c r="K1626" s="509"/>
      <c r="L1626" s="503"/>
      <c r="M1626" s="244"/>
      <c r="N1626" s="244"/>
      <c r="O1626" s="244"/>
      <c r="P1626" s="244"/>
      <c r="Q1626" s="244"/>
      <c r="R1626" s="244"/>
      <c r="S1626" s="244"/>
      <c r="T1626" s="244"/>
      <c r="U1626" s="244"/>
      <c r="V1626" s="244"/>
      <c r="W1626" s="244"/>
      <c r="X1626" s="244"/>
      <c r="Y1626" s="244"/>
      <c r="Z1626" s="244"/>
      <c r="AA1626" s="244"/>
      <c r="AB1626" s="244"/>
      <c r="AC1626" s="244"/>
      <c r="AD1626" s="244"/>
      <c r="AE1626" s="244"/>
    </row>
    <row r="1627" spans="1:31" ht="23.25" customHeight="1">
      <c r="A1627" s="996" t="s">
        <v>989</v>
      </c>
      <c r="B1627" s="996"/>
      <c r="C1627" s="996"/>
      <c r="D1627" s="996"/>
      <c r="E1627" s="996"/>
      <c r="F1627" s="996"/>
      <c r="G1627" s="996"/>
      <c r="H1627" s="996"/>
      <c r="I1627" s="996"/>
      <c r="J1627" s="996"/>
      <c r="K1627" s="509"/>
      <c r="L1627" s="503"/>
      <c r="M1627" s="244"/>
      <c r="Z1627" s="244"/>
      <c r="AA1627" s="244"/>
      <c r="AB1627" s="244"/>
      <c r="AC1627" s="244"/>
      <c r="AD1627" s="244"/>
      <c r="AE1627" s="244"/>
    </row>
    <row r="1628" spans="1:31" ht="20.25" customHeight="1">
      <c r="A1628" s="996" t="s">
        <v>957</v>
      </c>
      <c r="B1628" s="996"/>
      <c r="C1628" s="996"/>
      <c r="D1628" s="996"/>
      <c r="E1628" s="996"/>
      <c r="F1628" s="996"/>
      <c r="G1628" s="996"/>
      <c r="H1628" s="996"/>
      <c r="I1628" s="996"/>
      <c r="J1628" s="996"/>
      <c r="K1628" s="509"/>
      <c r="L1628" s="503"/>
      <c r="M1628" s="244"/>
      <c r="Z1628" s="244"/>
      <c r="AA1628" s="244"/>
      <c r="AB1628" s="244"/>
      <c r="AC1628" s="244"/>
      <c r="AD1628" s="244"/>
      <c r="AE1628" s="244"/>
    </row>
    <row r="1629" spans="1:31" ht="15">
      <c r="A1629" s="551"/>
      <c r="B1629" s="551"/>
      <c r="C1629" s="551"/>
      <c r="D1629" s="551"/>
      <c r="E1629" s="551"/>
      <c r="F1629" s="551"/>
      <c r="G1629" s="551"/>
      <c r="H1629" s="551"/>
      <c r="I1629" s="551"/>
      <c r="J1629" s="551"/>
      <c r="K1629" s="503"/>
      <c r="L1629" s="503"/>
      <c r="M1629" s="244"/>
      <c r="Z1629" s="244"/>
      <c r="AA1629" s="244"/>
      <c r="AB1629" s="244"/>
      <c r="AC1629" s="244"/>
      <c r="AD1629" s="244"/>
      <c r="AE1629" s="244"/>
    </row>
    <row r="1630" spans="1:31" ht="15">
      <c r="A1630" s="551"/>
      <c r="B1630" s="551"/>
      <c r="C1630" s="551"/>
      <c r="D1630" s="551"/>
      <c r="E1630" s="551"/>
      <c r="F1630" s="551"/>
      <c r="G1630" s="551"/>
      <c r="H1630" s="551"/>
      <c r="I1630" s="551"/>
      <c r="J1630" s="551"/>
      <c r="K1630"/>
      <c r="L1630"/>
      <c r="N1630"/>
      <c r="O1630"/>
      <c r="P1630"/>
      <c r="Q1630"/>
      <c r="R1630"/>
      <c r="S1630"/>
      <c r="T1630"/>
      <c r="U1630"/>
      <c r="V1630"/>
      <c r="W1630"/>
      <c r="X1630"/>
      <c r="Y1630"/>
      <c r="AE1630" s="244"/>
    </row>
    <row r="1631" spans="1:31" ht="15">
      <c r="A1631" s="551"/>
      <c r="B1631" s="551"/>
      <c r="C1631" s="551"/>
      <c r="D1631" s="551"/>
      <c r="E1631" s="551"/>
      <c r="F1631" s="551"/>
      <c r="G1631" s="551"/>
      <c r="H1631" s="551"/>
      <c r="I1631" s="551"/>
      <c r="J1631" s="551"/>
      <c r="K1631"/>
      <c r="L1631"/>
      <c r="N1631"/>
      <c r="O1631"/>
      <c r="P1631"/>
      <c r="Q1631"/>
      <c r="R1631"/>
      <c r="S1631"/>
      <c r="T1631"/>
      <c r="U1631"/>
      <c r="V1631"/>
      <c r="W1631"/>
      <c r="X1631"/>
      <c r="Y1631"/>
      <c r="AE1631" s="244"/>
    </row>
    <row r="1632" spans="11:31" ht="15">
      <c r="K1632"/>
      <c r="L1632"/>
      <c r="N1632"/>
      <c r="O1632"/>
      <c r="P1632"/>
      <c r="Q1632"/>
      <c r="R1632"/>
      <c r="S1632"/>
      <c r="T1632"/>
      <c r="U1632"/>
      <c r="V1632"/>
      <c r="W1632"/>
      <c r="X1632"/>
      <c r="Y1632"/>
      <c r="AE1632" s="244"/>
    </row>
    <row r="1633" spans="11:31" ht="15">
      <c r="K1633"/>
      <c r="L1633"/>
      <c r="N1633"/>
      <c r="O1633"/>
      <c r="P1633"/>
      <c r="Q1633"/>
      <c r="R1633"/>
      <c r="S1633"/>
      <c r="T1633"/>
      <c r="U1633"/>
      <c r="V1633"/>
      <c r="W1633"/>
      <c r="X1633"/>
      <c r="Y1633"/>
      <c r="AE1633" s="244"/>
    </row>
    <row r="1634" spans="11:31" ht="15">
      <c r="K1634"/>
      <c r="L1634"/>
      <c r="N1634"/>
      <c r="O1634"/>
      <c r="P1634"/>
      <c r="Q1634"/>
      <c r="R1634"/>
      <c r="S1634"/>
      <c r="T1634"/>
      <c r="U1634"/>
      <c r="V1634"/>
      <c r="W1634"/>
      <c r="X1634"/>
      <c r="Y1634"/>
      <c r="AE1634" s="244"/>
    </row>
    <row r="1635" spans="11:31" ht="15">
      <c r="K1635"/>
      <c r="L1635"/>
      <c r="N1635"/>
      <c r="O1635"/>
      <c r="P1635"/>
      <c r="Q1635"/>
      <c r="R1635"/>
      <c r="S1635"/>
      <c r="T1635"/>
      <c r="U1635"/>
      <c r="V1635"/>
      <c r="W1635"/>
      <c r="X1635"/>
      <c r="Y1635"/>
      <c r="AE1635" s="244"/>
    </row>
    <row r="1636" spans="11:31" ht="15">
      <c r="K1636"/>
      <c r="L1636"/>
      <c r="N1636"/>
      <c r="O1636"/>
      <c r="P1636"/>
      <c r="Q1636"/>
      <c r="R1636"/>
      <c r="S1636"/>
      <c r="T1636"/>
      <c r="U1636"/>
      <c r="V1636"/>
      <c r="W1636"/>
      <c r="X1636"/>
      <c r="Y1636"/>
      <c r="AE1636" s="244"/>
    </row>
    <row r="1637" spans="11:31" ht="15">
      <c r="K1637"/>
      <c r="L1637"/>
      <c r="N1637"/>
      <c r="O1637"/>
      <c r="P1637"/>
      <c r="Q1637"/>
      <c r="R1637"/>
      <c r="S1637"/>
      <c r="T1637"/>
      <c r="U1637"/>
      <c r="V1637"/>
      <c r="W1637"/>
      <c r="X1637"/>
      <c r="Y1637"/>
      <c r="AE1637" s="244"/>
    </row>
    <row r="1638" spans="11:31" ht="15">
      <c r="K1638"/>
      <c r="L1638"/>
      <c r="N1638"/>
      <c r="O1638"/>
      <c r="P1638"/>
      <c r="Q1638"/>
      <c r="R1638"/>
      <c r="S1638"/>
      <c r="T1638"/>
      <c r="U1638"/>
      <c r="V1638"/>
      <c r="W1638"/>
      <c r="X1638"/>
      <c r="Y1638"/>
      <c r="AE1638" s="244"/>
    </row>
    <row r="1639" spans="11:31" ht="15">
      <c r="K1639"/>
      <c r="L1639"/>
      <c r="N1639"/>
      <c r="O1639"/>
      <c r="P1639"/>
      <c r="Q1639"/>
      <c r="R1639"/>
      <c r="S1639"/>
      <c r="T1639"/>
      <c r="U1639"/>
      <c r="V1639"/>
      <c r="W1639"/>
      <c r="X1639"/>
      <c r="Y1639"/>
      <c r="AE1639" s="244"/>
    </row>
    <row r="1640" spans="11:31" ht="15">
      <c r="K1640"/>
      <c r="L1640"/>
      <c r="N1640"/>
      <c r="O1640"/>
      <c r="P1640"/>
      <c r="Q1640"/>
      <c r="R1640"/>
      <c r="S1640"/>
      <c r="T1640"/>
      <c r="U1640"/>
      <c r="V1640"/>
      <c r="W1640"/>
      <c r="X1640"/>
      <c r="Y1640"/>
      <c r="AE1640" s="244"/>
    </row>
    <row r="1641" spans="11:31" ht="15">
      <c r="K1641"/>
      <c r="L1641"/>
      <c r="N1641"/>
      <c r="O1641"/>
      <c r="P1641"/>
      <c r="Q1641"/>
      <c r="R1641"/>
      <c r="S1641"/>
      <c r="T1641"/>
      <c r="U1641"/>
      <c r="V1641"/>
      <c r="W1641"/>
      <c r="X1641"/>
      <c r="Y1641"/>
      <c r="AE1641" s="244"/>
    </row>
    <row r="1642" spans="11:31" ht="15">
      <c r="K1642"/>
      <c r="L1642"/>
      <c r="N1642"/>
      <c r="O1642"/>
      <c r="P1642"/>
      <c r="Q1642"/>
      <c r="R1642"/>
      <c r="S1642"/>
      <c r="T1642"/>
      <c r="U1642"/>
      <c r="V1642"/>
      <c r="W1642"/>
      <c r="X1642"/>
      <c r="Y1642"/>
      <c r="AE1642" s="244"/>
    </row>
    <row r="1643" spans="11:31" ht="15">
      <c r="K1643"/>
      <c r="L1643"/>
      <c r="N1643"/>
      <c r="O1643"/>
      <c r="P1643"/>
      <c r="Q1643"/>
      <c r="R1643"/>
      <c r="S1643"/>
      <c r="T1643"/>
      <c r="U1643"/>
      <c r="V1643"/>
      <c r="W1643"/>
      <c r="X1643"/>
      <c r="Y1643"/>
      <c r="AE1643" s="244"/>
    </row>
    <row r="1644" spans="11:31" ht="15">
      <c r="K1644"/>
      <c r="L1644"/>
      <c r="N1644"/>
      <c r="O1644"/>
      <c r="P1644"/>
      <c r="Q1644"/>
      <c r="R1644"/>
      <c r="S1644"/>
      <c r="T1644"/>
      <c r="U1644"/>
      <c r="V1644"/>
      <c r="W1644"/>
      <c r="X1644"/>
      <c r="Y1644"/>
      <c r="AE1644" s="244"/>
    </row>
    <row r="1645" spans="11:31" ht="15">
      <c r="K1645"/>
      <c r="L1645"/>
      <c r="N1645"/>
      <c r="O1645"/>
      <c r="P1645"/>
      <c r="Q1645"/>
      <c r="R1645"/>
      <c r="S1645"/>
      <c r="T1645"/>
      <c r="U1645"/>
      <c r="V1645"/>
      <c r="W1645"/>
      <c r="X1645"/>
      <c r="Y1645"/>
      <c r="AE1645" s="244"/>
    </row>
    <row r="1646" spans="11:31" ht="15">
      <c r="K1646"/>
      <c r="L1646"/>
      <c r="N1646"/>
      <c r="O1646"/>
      <c r="P1646"/>
      <c r="Q1646"/>
      <c r="R1646"/>
      <c r="S1646"/>
      <c r="T1646"/>
      <c r="U1646"/>
      <c r="V1646"/>
      <c r="W1646"/>
      <c r="X1646"/>
      <c r="Y1646"/>
      <c r="AE1646" s="244"/>
    </row>
    <row r="1647" spans="11:31" ht="15">
      <c r="K1647"/>
      <c r="L1647"/>
      <c r="N1647"/>
      <c r="O1647"/>
      <c r="P1647"/>
      <c r="Q1647"/>
      <c r="R1647"/>
      <c r="S1647"/>
      <c r="T1647"/>
      <c r="U1647"/>
      <c r="V1647"/>
      <c r="W1647"/>
      <c r="X1647"/>
      <c r="Y1647"/>
      <c r="AE1647" s="244"/>
    </row>
    <row r="1648" spans="11:31" ht="15">
      <c r="K1648"/>
      <c r="L1648"/>
      <c r="N1648"/>
      <c r="O1648"/>
      <c r="P1648"/>
      <c r="Q1648"/>
      <c r="R1648"/>
      <c r="S1648"/>
      <c r="T1648"/>
      <c r="U1648"/>
      <c r="V1648"/>
      <c r="W1648"/>
      <c r="X1648"/>
      <c r="Y1648"/>
      <c r="AE1648" s="244"/>
    </row>
    <row r="1649" spans="11:31" ht="15">
      <c r="K1649"/>
      <c r="L1649"/>
      <c r="N1649"/>
      <c r="O1649"/>
      <c r="P1649"/>
      <c r="Q1649"/>
      <c r="R1649"/>
      <c r="S1649"/>
      <c r="T1649"/>
      <c r="U1649"/>
      <c r="V1649"/>
      <c r="W1649"/>
      <c r="X1649"/>
      <c r="Y1649"/>
      <c r="AE1649" s="244"/>
    </row>
    <row r="1650" spans="11:31" ht="15">
      <c r="K1650"/>
      <c r="L1650"/>
      <c r="N1650"/>
      <c r="O1650"/>
      <c r="P1650"/>
      <c r="Q1650"/>
      <c r="R1650"/>
      <c r="S1650"/>
      <c r="T1650"/>
      <c r="U1650"/>
      <c r="V1650"/>
      <c r="W1650"/>
      <c r="X1650"/>
      <c r="Y1650"/>
      <c r="AE1650" s="244"/>
    </row>
    <row r="1651" spans="11:31" ht="15">
      <c r="K1651"/>
      <c r="L1651"/>
      <c r="N1651"/>
      <c r="O1651"/>
      <c r="P1651"/>
      <c r="Q1651"/>
      <c r="R1651"/>
      <c r="S1651"/>
      <c r="T1651"/>
      <c r="U1651"/>
      <c r="V1651"/>
      <c r="W1651"/>
      <c r="X1651"/>
      <c r="Y1651"/>
      <c r="AE1651" s="244"/>
    </row>
    <row r="1652" spans="11:31" ht="15">
      <c r="K1652"/>
      <c r="L1652"/>
      <c r="N1652"/>
      <c r="O1652"/>
      <c r="P1652"/>
      <c r="Q1652"/>
      <c r="R1652"/>
      <c r="S1652"/>
      <c r="T1652"/>
      <c r="U1652"/>
      <c r="V1652"/>
      <c r="W1652"/>
      <c r="X1652"/>
      <c r="Y1652"/>
      <c r="AE1652" s="244"/>
    </row>
    <row r="1653" spans="11:25" ht="15">
      <c r="K1653"/>
      <c r="L1653"/>
      <c r="N1653"/>
      <c r="O1653"/>
      <c r="P1653"/>
      <c r="Q1653"/>
      <c r="R1653"/>
      <c r="S1653"/>
      <c r="T1653"/>
      <c r="U1653"/>
      <c r="V1653"/>
      <c r="W1653"/>
      <c r="X1653"/>
      <c r="Y1653"/>
    </row>
    <row r="1654" spans="11:25" ht="15">
      <c r="K1654"/>
      <c r="L1654"/>
      <c r="N1654"/>
      <c r="O1654"/>
      <c r="P1654"/>
      <c r="Q1654"/>
      <c r="R1654"/>
      <c r="S1654"/>
      <c r="T1654"/>
      <c r="U1654"/>
      <c r="V1654"/>
      <c r="W1654"/>
      <c r="X1654"/>
      <c r="Y1654"/>
    </row>
    <row r="1655" spans="11:25" ht="15">
      <c r="K1655"/>
      <c r="L1655"/>
      <c r="N1655"/>
      <c r="O1655"/>
      <c r="P1655"/>
      <c r="Q1655"/>
      <c r="R1655"/>
      <c r="S1655"/>
      <c r="T1655"/>
      <c r="U1655"/>
      <c r="V1655"/>
      <c r="W1655"/>
      <c r="X1655"/>
      <c r="Y1655"/>
    </row>
    <row r="1656" spans="11:25" ht="15">
      <c r="K1656"/>
      <c r="L1656"/>
      <c r="N1656"/>
      <c r="O1656"/>
      <c r="P1656"/>
      <c r="Q1656"/>
      <c r="R1656"/>
      <c r="S1656"/>
      <c r="T1656"/>
      <c r="U1656"/>
      <c r="V1656"/>
      <c r="W1656"/>
      <c r="X1656"/>
      <c r="Y1656"/>
    </row>
    <row r="1657" spans="11:25" ht="15">
      <c r="K1657"/>
      <c r="L1657"/>
      <c r="N1657"/>
      <c r="O1657"/>
      <c r="P1657"/>
      <c r="Q1657"/>
      <c r="R1657"/>
      <c r="S1657"/>
      <c r="T1657"/>
      <c r="U1657"/>
      <c r="V1657"/>
      <c r="W1657"/>
      <c r="X1657"/>
      <c r="Y1657"/>
    </row>
    <row r="1658" spans="11:25" ht="15">
      <c r="K1658"/>
      <c r="L1658"/>
      <c r="N1658"/>
      <c r="O1658"/>
      <c r="P1658"/>
      <c r="Q1658"/>
      <c r="R1658"/>
      <c r="S1658"/>
      <c r="T1658"/>
      <c r="U1658"/>
      <c r="V1658"/>
      <c r="W1658"/>
      <c r="X1658"/>
      <c r="Y1658"/>
    </row>
    <row r="1659" spans="11:25" ht="15">
      <c r="K1659"/>
      <c r="L1659"/>
      <c r="N1659"/>
      <c r="O1659"/>
      <c r="P1659"/>
      <c r="Q1659"/>
      <c r="R1659"/>
      <c r="S1659"/>
      <c r="T1659"/>
      <c r="U1659"/>
      <c r="V1659"/>
      <c r="W1659"/>
      <c r="X1659"/>
      <c r="Y1659"/>
    </row>
    <row r="1660" spans="11:25" ht="15">
      <c r="K1660"/>
      <c r="L1660"/>
      <c r="N1660"/>
      <c r="O1660"/>
      <c r="P1660"/>
      <c r="Q1660"/>
      <c r="R1660"/>
      <c r="S1660"/>
      <c r="T1660"/>
      <c r="U1660"/>
      <c r="V1660"/>
      <c r="W1660"/>
      <c r="X1660"/>
      <c r="Y1660"/>
    </row>
    <row r="1661" spans="11:25" ht="15">
      <c r="K1661"/>
      <c r="L1661"/>
      <c r="N1661"/>
      <c r="O1661"/>
      <c r="P1661"/>
      <c r="Q1661"/>
      <c r="R1661"/>
      <c r="S1661"/>
      <c r="T1661"/>
      <c r="U1661"/>
      <c r="V1661"/>
      <c r="W1661"/>
      <c r="X1661"/>
      <c r="Y1661"/>
    </row>
    <row r="1662" spans="11:25" ht="15">
      <c r="K1662"/>
      <c r="L1662"/>
      <c r="N1662"/>
      <c r="O1662"/>
      <c r="P1662"/>
      <c r="Q1662"/>
      <c r="R1662"/>
      <c r="S1662"/>
      <c r="T1662"/>
      <c r="U1662"/>
      <c r="V1662"/>
      <c r="W1662"/>
      <c r="X1662"/>
      <c r="Y1662"/>
    </row>
    <row r="1663" spans="11:25" ht="15">
      <c r="K1663"/>
      <c r="L1663"/>
      <c r="N1663"/>
      <c r="O1663"/>
      <c r="P1663"/>
      <c r="Q1663"/>
      <c r="R1663"/>
      <c r="S1663"/>
      <c r="T1663"/>
      <c r="U1663"/>
      <c r="V1663"/>
      <c r="W1663"/>
      <c r="X1663"/>
      <c r="Y1663"/>
    </row>
    <row r="1664" spans="11:25" ht="15">
      <c r="K1664"/>
      <c r="L1664"/>
      <c r="N1664"/>
      <c r="O1664"/>
      <c r="P1664"/>
      <c r="Q1664"/>
      <c r="R1664"/>
      <c r="S1664"/>
      <c r="T1664"/>
      <c r="U1664"/>
      <c r="V1664"/>
      <c r="W1664"/>
      <c r="X1664"/>
      <c r="Y1664"/>
    </row>
    <row r="1665" spans="11:25" ht="15">
      <c r="K1665"/>
      <c r="L1665"/>
      <c r="N1665"/>
      <c r="O1665"/>
      <c r="P1665"/>
      <c r="Q1665"/>
      <c r="R1665"/>
      <c r="S1665"/>
      <c r="T1665"/>
      <c r="U1665"/>
      <c r="V1665"/>
      <c r="W1665"/>
      <c r="X1665"/>
      <c r="Y1665"/>
    </row>
    <row r="1666" spans="11:25" ht="15">
      <c r="K1666"/>
      <c r="L1666"/>
      <c r="N1666"/>
      <c r="O1666"/>
      <c r="P1666"/>
      <c r="Q1666"/>
      <c r="R1666"/>
      <c r="S1666"/>
      <c r="T1666"/>
      <c r="U1666"/>
      <c r="V1666"/>
      <c r="W1666"/>
      <c r="X1666"/>
      <c r="Y1666"/>
    </row>
    <row r="1667" spans="11:25" ht="15">
      <c r="K1667"/>
      <c r="L1667"/>
      <c r="N1667"/>
      <c r="O1667"/>
      <c r="P1667"/>
      <c r="Q1667"/>
      <c r="R1667"/>
      <c r="S1667"/>
      <c r="T1667"/>
      <c r="U1667"/>
      <c r="V1667"/>
      <c r="W1667"/>
      <c r="X1667"/>
      <c r="Y1667"/>
    </row>
    <row r="1668" spans="11:25" ht="15">
      <c r="K1668"/>
      <c r="L1668"/>
      <c r="N1668"/>
      <c r="O1668"/>
      <c r="P1668"/>
      <c r="Q1668"/>
      <c r="R1668"/>
      <c r="S1668"/>
      <c r="T1668"/>
      <c r="U1668"/>
      <c r="V1668"/>
      <c r="W1668"/>
      <c r="X1668"/>
      <c r="Y1668"/>
    </row>
    <row r="1669" spans="11:25" ht="15">
      <c r="K1669"/>
      <c r="L1669"/>
      <c r="N1669"/>
      <c r="O1669"/>
      <c r="P1669"/>
      <c r="Q1669"/>
      <c r="R1669"/>
      <c r="S1669"/>
      <c r="T1669"/>
      <c r="U1669"/>
      <c r="V1669"/>
      <c r="W1669"/>
      <c r="X1669"/>
      <c r="Y1669"/>
    </row>
    <row r="1670" spans="11:25" ht="15">
      <c r="K1670"/>
      <c r="L1670"/>
      <c r="N1670"/>
      <c r="O1670"/>
      <c r="P1670"/>
      <c r="Q1670"/>
      <c r="R1670"/>
      <c r="S1670"/>
      <c r="T1670"/>
      <c r="U1670"/>
      <c r="V1670"/>
      <c r="W1670"/>
      <c r="X1670"/>
      <c r="Y1670"/>
    </row>
    <row r="1671" spans="11:25" ht="15">
      <c r="K1671"/>
      <c r="L1671"/>
      <c r="N1671"/>
      <c r="O1671"/>
      <c r="P1671"/>
      <c r="Q1671"/>
      <c r="R1671"/>
      <c r="S1671"/>
      <c r="T1671"/>
      <c r="U1671"/>
      <c r="V1671"/>
      <c r="W1671"/>
      <c r="X1671"/>
      <c r="Y1671"/>
    </row>
    <row r="1672" spans="11:25" ht="15">
      <c r="K1672"/>
      <c r="L1672"/>
      <c r="N1672"/>
      <c r="O1672"/>
      <c r="P1672"/>
      <c r="Q1672"/>
      <c r="R1672"/>
      <c r="S1672"/>
      <c r="T1672"/>
      <c r="U1672"/>
      <c r="V1672"/>
      <c r="W1672"/>
      <c r="X1672"/>
      <c r="Y1672"/>
    </row>
    <row r="1673" spans="11:25" ht="15">
      <c r="K1673"/>
      <c r="L1673"/>
      <c r="N1673"/>
      <c r="O1673"/>
      <c r="P1673"/>
      <c r="Q1673"/>
      <c r="R1673"/>
      <c r="S1673"/>
      <c r="T1673"/>
      <c r="U1673"/>
      <c r="V1673"/>
      <c r="W1673"/>
      <c r="X1673"/>
      <c r="Y1673"/>
    </row>
    <row r="1674" spans="11:25" ht="15">
      <c r="K1674"/>
      <c r="L1674"/>
      <c r="N1674"/>
      <c r="O1674"/>
      <c r="P1674"/>
      <c r="Q1674"/>
      <c r="R1674"/>
      <c r="S1674"/>
      <c r="T1674"/>
      <c r="U1674"/>
      <c r="V1674"/>
      <c r="W1674"/>
      <c r="X1674"/>
      <c r="Y1674"/>
    </row>
    <row r="1675" spans="11:25" ht="15">
      <c r="K1675"/>
      <c r="L1675"/>
      <c r="N1675"/>
      <c r="O1675"/>
      <c r="P1675"/>
      <c r="Q1675"/>
      <c r="R1675"/>
      <c r="S1675"/>
      <c r="T1675"/>
      <c r="U1675"/>
      <c r="V1675"/>
      <c r="W1675"/>
      <c r="X1675"/>
      <c r="Y1675"/>
    </row>
    <row r="1676" spans="11:25" ht="15">
      <c r="K1676"/>
      <c r="L1676"/>
      <c r="N1676"/>
      <c r="O1676"/>
      <c r="P1676"/>
      <c r="Q1676"/>
      <c r="R1676"/>
      <c r="S1676"/>
      <c r="T1676"/>
      <c r="U1676"/>
      <c r="V1676"/>
      <c r="W1676"/>
      <c r="X1676"/>
      <c r="Y1676"/>
    </row>
    <row r="1677" spans="11:25" ht="15">
      <c r="K1677"/>
      <c r="L1677"/>
      <c r="N1677"/>
      <c r="O1677"/>
      <c r="P1677"/>
      <c r="Q1677"/>
      <c r="R1677"/>
      <c r="S1677"/>
      <c r="T1677"/>
      <c r="U1677"/>
      <c r="V1677"/>
      <c r="W1677"/>
      <c r="X1677"/>
      <c r="Y1677"/>
    </row>
    <row r="1678" spans="11:25" ht="15">
      <c r="K1678"/>
      <c r="L1678"/>
      <c r="N1678"/>
      <c r="O1678"/>
      <c r="P1678"/>
      <c r="Q1678"/>
      <c r="R1678"/>
      <c r="S1678"/>
      <c r="T1678"/>
      <c r="U1678"/>
      <c r="V1678"/>
      <c r="W1678"/>
      <c r="X1678"/>
      <c r="Y1678"/>
    </row>
    <row r="1679" spans="11:25" ht="15">
      <c r="K1679"/>
      <c r="L1679"/>
      <c r="N1679"/>
      <c r="O1679"/>
      <c r="P1679"/>
      <c r="Q1679"/>
      <c r="R1679"/>
      <c r="S1679"/>
      <c r="T1679"/>
      <c r="U1679"/>
      <c r="V1679"/>
      <c r="W1679"/>
      <c r="X1679"/>
      <c r="Y1679"/>
    </row>
    <row r="1680" spans="11:25" ht="15">
      <c r="K1680"/>
      <c r="L1680"/>
      <c r="N1680"/>
      <c r="O1680"/>
      <c r="P1680"/>
      <c r="Q1680"/>
      <c r="R1680"/>
      <c r="S1680"/>
      <c r="T1680"/>
      <c r="U1680"/>
      <c r="V1680"/>
      <c r="W1680"/>
      <c r="X1680"/>
      <c r="Y1680"/>
    </row>
    <row r="1681" spans="11:25" ht="15">
      <c r="K1681"/>
      <c r="L1681"/>
      <c r="N1681"/>
      <c r="O1681"/>
      <c r="P1681"/>
      <c r="Q1681"/>
      <c r="R1681"/>
      <c r="S1681"/>
      <c r="T1681"/>
      <c r="U1681"/>
      <c r="V1681"/>
      <c r="W1681"/>
      <c r="X1681"/>
      <c r="Y1681"/>
    </row>
    <row r="1682" spans="11:25" ht="15">
      <c r="K1682"/>
      <c r="L1682"/>
      <c r="N1682"/>
      <c r="O1682"/>
      <c r="P1682"/>
      <c r="Q1682"/>
      <c r="R1682"/>
      <c r="S1682"/>
      <c r="T1682"/>
      <c r="U1682"/>
      <c r="V1682"/>
      <c r="W1682"/>
      <c r="X1682"/>
      <c r="Y1682"/>
    </row>
    <row r="1683" spans="11:25" ht="15">
      <c r="K1683"/>
      <c r="L1683"/>
      <c r="N1683"/>
      <c r="O1683"/>
      <c r="P1683"/>
      <c r="Q1683"/>
      <c r="R1683"/>
      <c r="S1683"/>
      <c r="T1683"/>
      <c r="U1683"/>
      <c r="V1683"/>
      <c r="W1683"/>
      <c r="X1683"/>
      <c r="Y1683"/>
    </row>
    <row r="1684" spans="11:25" ht="15">
      <c r="K1684"/>
      <c r="L1684"/>
      <c r="N1684"/>
      <c r="O1684"/>
      <c r="P1684"/>
      <c r="Q1684"/>
      <c r="R1684"/>
      <c r="S1684"/>
      <c r="T1684"/>
      <c r="U1684"/>
      <c r="V1684"/>
      <c r="W1684"/>
      <c r="X1684"/>
      <c r="Y1684"/>
    </row>
    <row r="1685" spans="11:25" ht="15">
      <c r="K1685"/>
      <c r="L1685"/>
      <c r="N1685"/>
      <c r="O1685"/>
      <c r="P1685"/>
      <c r="Q1685"/>
      <c r="R1685"/>
      <c r="S1685"/>
      <c r="T1685"/>
      <c r="U1685"/>
      <c r="V1685"/>
      <c r="W1685"/>
      <c r="X1685"/>
      <c r="Y1685"/>
    </row>
    <row r="1686" spans="11:25" ht="15">
      <c r="K1686"/>
      <c r="L1686"/>
      <c r="N1686"/>
      <c r="O1686"/>
      <c r="P1686"/>
      <c r="Q1686"/>
      <c r="R1686"/>
      <c r="S1686"/>
      <c r="T1686"/>
      <c r="U1686"/>
      <c r="V1686"/>
      <c r="W1686"/>
      <c r="X1686"/>
      <c r="Y1686"/>
    </row>
    <row r="1687" spans="11:25" ht="15">
      <c r="K1687"/>
      <c r="L1687"/>
      <c r="N1687"/>
      <c r="O1687"/>
      <c r="P1687"/>
      <c r="Q1687"/>
      <c r="R1687"/>
      <c r="S1687"/>
      <c r="T1687"/>
      <c r="U1687"/>
      <c r="V1687"/>
      <c r="W1687"/>
      <c r="X1687"/>
      <c r="Y1687"/>
    </row>
    <row r="1688" spans="11:25" ht="15">
      <c r="K1688"/>
      <c r="L1688"/>
      <c r="N1688"/>
      <c r="O1688"/>
      <c r="P1688"/>
      <c r="Q1688"/>
      <c r="R1688"/>
      <c r="S1688"/>
      <c r="T1688"/>
      <c r="U1688"/>
      <c r="V1688"/>
      <c r="W1688"/>
      <c r="X1688"/>
      <c r="Y1688"/>
    </row>
    <row r="1689" spans="11:25" ht="15">
      <c r="K1689"/>
      <c r="L1689"/>
      <c r="N1689"/>
      <c r="O1689"/>
      <c r="P1689"/>
      <c r="Q1689"/>
      <c r="R1689"/>
      <c r="S1689"/>
      <c r="T1689"/>
      <c r="U1689"/>
      <c r="V1689"/>
      <c r="W1689"/>
      <c r="X1689"/>
      <c r="Y1689"/>
    </row>
    <row r="1690" spans="11:25" ht="15">
      <c r="K1690"/>
      <c r="L1690"/>
      <c r="N1690"/>
      <c r="O1690"/>
      <c r="P1690"/>
      <c r="Q1690"/>
      <c r="R1690"/>
      <c r="S1690"/>
      <c r="T1690"/>
      <c r="U1690"/>
      <c r="V1690"/>
      <c r="W1690"/>
      <c r="X1690"/>
      <c r="Y1690"/>
    </row>
    <row r="1691" spans="11:25" ht="15">
      <c r="K1691"/>
      <c r="L1691"/>
      <c r="N1691"/>
      <c r="O1691"/>
      <c r="P1691"/>
      <c r="Q1691"/>
      <c r="R1691"/>
      <c r="S1691"/>
      <c r="T1691"/>
      <c r="U1691"/>
      <c r="V1691"/>
      <c r="W1691"/>
      <c r="X1691"/>
      <c r="Y1691"/>
    </row>
    <row r="1692" spans="11:25" ht="15">
      <c r="K1692"/>
      <c r="L1692"/>
      <c r="N1692"/>
      <c r="O1692"/>
      <c r="P1692"/>
      <c r="Q1692"/>
      <c r="R1692"/>
      <c r="S1692"/>
      <c r="T1692"/>
      <c r="U1692"/>
      <c r="V1692"/>
      <c r="W1692"/>
      <c r="X1692"/>
      <c r="Y1692"/>
    </row>
    <row r="1693" spans="11:25" ht="15">
      <c r="K1693"/>
      <c r="L1693"/>
      <c r="N1693"/>
      <c r="O1693"/>
      <c r="P1693"/>
      <c r="Q1693"/>
      <c r="R1693"/>
      <c r="S1693"/>
      <c r="T1693"/>
      <c r="U1693"/>
      <c r="V1693"/>
      <c r="W1693"/>
      <c r="X1693"/>
      <c r="Y1693"/>
    </row>
    <row r="1694" spans="11:25" ht="15">
      <c r="K1694"/>
      <c r="L1694"/>
      <c r="N1694"/>
      <c r="O1694"/>
      <c r="P1694"/>
      <c r="Q1694"/>
      <c r="R1694"/>
      <c r="S1694"/>
      <c r="T1694"/>
      <c r="U1694"/>
      <c r="V1694"/>
      <c r="W1694"/>
      <c r="X1694"/>
      <c r="Y1694"/>
    </row>
    <row r="1695" spans="11:25" ht="15">
      <c r="K1695"/>
      <c r="L1695"/>
      <c r="N1695"/>
      <c r="O1695"/>
      <c r="P1695"/>
      <c r="Q1695"/>
      <c r="R1695"/>
      <c r="S1695"/>
      <c r="T1695"/>
      <c r="U1695"/>
      <c r="V1695"/>
      <c r="W1695"/>
      <c r="X1695"/>
      <c r="Y1695"/>
    </row>
    <row r="1696" spans="11:25" ht="15">
      <c r="K1696"/>
      <c r="L1696"/>
      <c r="N1696"/>
      <c r="O1696"/>
      <c r="P1696"/>
      <c r="Q1696"/>
      <c r="R1696"/>
      <c r="S1696"/>
      <c r="T1696"/>
      <c r="U1696"/>
      <c r="V1696"/>
      <c r="W1696"/>
      <c r="X1696"/>
      <c r="Y1696"/>
    </row>
    <row r="1697" spans="11:25" ht="15">
      <c r="K1697"/>
      <c r="L1697"/>
      <c r="N1697"/>
      <c r="O1697"/>
      <c r="P1697"/>
      <c r="Q1697"/>
      <c r="R1697"/>
      <c r="S1697"/>
      <c r="T1697"/>
      <c r="U1697"/>
      <c r="V1697"/>
      <c r="W1697"/>
      <c r="X1697"/>
      <c r="Y1697"/>
    </row>
    <row r="1698" spans="11:25" ht="15">
      <c r="K1698"/>
      <c r="L1698"/>
      <c r="N1698"/>
      <c r="O1698"/>
      <c r="P1698"/>
      <c r="Q1698"/>
      <c r="R1698"/>
      <c r="S1698"/>
      <c r="T1698"/>
      <c r="U1698"/>
      <c r="V1698"/>
      <c r="W1698"/>
      <c r="X1698"/>
      <c r="Y1698"/>
    </row>
    <row r="1699" spans="11:25" ht="15">
      <c r="K1699"/>
      <c r="L1699"/>
      <c r="N1699"/>
      <c r="O1699"/>
      <c r="P1699"/>
      <c r="Q1699"/>
      <c r="R1699"/>
      <c r="S1699"/>
      <c r="T1699"/>
      <c r="U1699"/>
      <c r="V1699"/>
      <c r="W1699"/>
      <c r="X1699"/>
      <c r="Y1699"/>
    </row>
    <row r="1700" spans="11:25" ht="15">
      <c r="K1700"/>
      <c r="L1700"/>
      <c r="N1700"/>
      <c r="O1700"/>
      <c r="P1700"/>
      <c r="Q1700"/>
      <c r="R1700"/>
      <c r="S1700"/>
      <c r="T1700"/>
      <c r="U1700"/>
      <c r="V1700"/>
      <c r="W1700"/>
      <c r="X1700"/>
      <c r="Y1700"/>
    </row>
    <row r="1701" spans="11:25" ht="15">
      <c r="K1701"/>
      <c r="L1701"/>
      <c r="N1701"/>
      <c r="O1701"/>
      <c r="P1701"/>
      <c r="Q1701"/>
      <c r="R1701"/>
      <c r="S1701"/>
      <c r="T1701"/>
      <c r="U1701"/>
      <c r="V1701"/>
      <c r="W1701"/>
      <c r="X1701"/>
      <c r="Y1701"/>
    </row>
    <row r="1702" spans="11:25" ht="15">
      <c r="K1702"/>
      <c r="L1702"/>
      <c r="N1702"/>
      <c r="O1702"/>
      <c r="P1702"/>
      <c r="Q1702"/>
      <c r="R1702"/>
      <c r="S1702"/>
      <c r="T1702"/>
      <c r="U1702"/>
      <c r="V1702"/>
      <c r="W1702"/>
      <c r="X1702"/>
      <c r="Y1702"/>
    </row>
  </sheetData>
  <sheetProtection password="EB09" sheet="1" objects="1" scenarios="1" formatCells="0" formatColumns="0" formatRows="0" deleteColumns="0" deleteRows="0" sort="0"/>
  <mergeCells count="4000">
    <mergeCell ref="C1389:D1389"/>
    <mergeCell ref="I1290:J1290"/>
    <mergeCell ref="A1290:A1291"/>
    <mergeCell ref="C1290:D1290"/>
    <mergeCell ref="A1358:A1359"/>
    <mergeCell ref="A1348:A1349"/>
    <mergeCell ref="A1329:A1330"/>
    <mergeCell ref="I1308:J1308"/>
    <mergeCell ref="I1358:J1358"/>
    <mergeCell ref="E1358:F1358"/>
    <mergeCell ref="I1606:J1606"/>
    <mergeCell ref="I1607:J1607"/>
    <mergeCell ref="I1608:J1608"/>
    <mergeCell ref="C1606:D1606"/>
    <mergeCell ref="E1606:F1606"/>
    <mergeCell ref="E1389:F1389"/>
    <mergeCell ref="G1389:H1389"/>
    <mergeCell ref="C1431:D1431"/>
    <mergeCell ref="E1431:F1431"/>
    <mergeCell ref="G1431:H1431"/>
    <mergeCell ref="I129:J129"/>
    <mergeCell ref="I117:J117"/>
    <mergeCell ref="C1605:D1605"/>
    <mergeCell ref="E1605:F1605"/>
    <mergeCell ref="G1605:H1605"/>
    <mergeCell ref="C1608:D1608"/>
    <mergeCell ref="E1608:F1608"/>
    <mergeCell ref="G1608:H1608"/>
    <mergeCell ref="I1604:J1604"/>
    <mergeCell ref="I1605:J1605"/>
    <mergeCell ref="A1389:A1390"/>
    <mergeCell ref="G129:H129"/>
    <mergeCell ref="G1606:H1606"/>
    <mergeCell ref="C1607:D1607"/>
    <mergeCell ref="E1607:F1607"/>
    <mergeCell ref="G1607:H1607"/>
    <mergeCell ref="A1397:A1398"/>
    <mergeCell ref="B1431:B1434"/>
    <mergeCell ref="C1432:D1432"/>
    <mergeCell ref="C1433:D1433"/>
    <mergeCell ref="K101:L101"/>
    <mergeCell ref="K102:L102"/>
    <mergeCell ref="K103:L103"/>
    <mergeCell ref="K104:L104"/>
    <mergeCell ref="K105:L105"/>
    <mergeCell ref="K106:L106"/>
    <mergeCell ref="C159:D159"/>
    <mergeCell ref="E159:F159"/>
    <mergeCell ref="G159:H159"/>
    <mergeCell ref="I159:J159"/>
    <mergeCell ref="K1269:L1269"/>
    <mergeCell ref="I1121:J1121"/>
    <mergeCell ref="I1122:J1122"/>
    <mergeCell ref="C881:D881"/>
    <mergeCell ref="E881:F881"/>
    <mergeCell ref="I1017:J1017"/>
    <mergeCell ref="C160:D160"/>
    <mergeCell ref="E160:F160"/>
    <mergeCell ref="G733:H733"/>
    <mergeCell ref="I462:J462"/>
    <mergeCell ref="C1249:D1249"/>
    <mergeCell ref="I1299:J1299"/>
    <mergeCell ref="I739:J739"/>
    <mergeCell ref="I160:J160"/>
    <mergeCell ref="C743:D743"/>
    <mergeCell ref="E743:F743"/>
    <mergeCell ref="A1626:J1626"/>
    <mergeCell ref="C1063:D1063"/>
    <mergeCell ref="C1060:D1060"/>
    <mergeCell ref="C1604:D1604"/>
    <mergeCell ref="E1604:F1604"/>
    <mergeCell ref="G1604:H1604"/>
    <mergeCell ref="E1060:F1060"/>
    <mergeCell ref="I1123:J1123"/>
    <mergeCell ref="I1124:J1124"/>
    <mergeCell ref="I1125:J1125"/>
    <mergeCell ref="K737:L737"/>
    <mergeCell ref="I731:J731"/>
    <mergeCell ref="A1022:H1022"/>
    <mergeCell ref="G881:H881"/>
    <mergeCell ref="I828:J828"/>
    <mergeCell ref="K746:L746"/>
    <mergeCell ref="A747:J747"/>
    <mergeCell ref="C739:D739"/>
    <mergeCell ref="C742:D742"/>
    <mergeCell ref="C882:D882"/>
    <mergeCell ref="E882:F882"/>
    <mergeCell ref="K441:L441"/>
    <mergeCell ref="C744:D744"/>
    <mergeCell ref="C734:D734"/>
    <mergeCell ref="K738:L738"/>
    <mergeCell ref="E737:F737"/>
    <mergeCell ref="K444:L444"/>
    <mergeCell ref="K445:L445"/>
    <mergeCell ref="A1024:H1024"/>
    <mergeCell ref="I1018:J1018"/>
    <mergeCell ref="E885:F885"/>
    <mergeCell ref="G942:H942"/>
    <mergeCell ref="G739:H739"/>
    <mergeCell ref="C847:D847"/>
    <mergeCell ref="C942:D942"/>
    <mergeCell ref="E942:F942"/>
    <mergeCell ref="G743:H743"/>
    <mergeCell ref="I743:J743"/>
    <mergeCell ref="C762:D762"/>
    <mergeCell ref="C846:D846"/>
    <mergeCell ref="K1051:L1051"/>
    <mergeCell ref="I1015:J1015"/>
    <mergeCell ref="I1016:J1016"/>
    <mergeCell ref="I1049:J1049"/>
    <mergeCell ref="K1048:L1048"/>
    <mergeCell ref="I1044:J1044"/>
    <mergeCell ref="I1019:J1019"/>
    <mergeCell ref="I1051:J1051"/>
    <mergeCell ref="A1023:J1023"/>
    <mergeCell ref="K1033:L1033"/>
    <mergeCell ref="K1249:L1249"/>
    <mergeCell ref="E1017:F1017"/>
    <mergeCell ref="G1017:H1017"/>
    <mergeCell ref="G1019:H1019"/>
    <mergeCell ref="K1074:L1074"/>
    <mergeCell ref="K1058:L1058"/>
    <mergeCell ref="K1059:L1059"/>
    <mergeCell ref="K1063:L1063"/>
    <mergeCell ref="E1056:F1056"/>
    <mergeCell ref="K1050:L1050"/>
    <mergeCell ref="C1061:D1061"/>
    <mergeCell ref="C1062:D1062"/>
    <mergeCell ref="K1052:L1052"/>
    <mergeCell ref="G1043:H1043"/>
    <mergeCell ref="K1056:L1056"/>
    <mergeCell ref="K1049:L1049"/>
    <mergeCell ref="C1058:D1058"/>
    <mergeCell ref="C1059:D1059"/>
    <mergeCell ref="K1057:L1057"/>
    <mergeCell ref="B4:G4"/>
    <mergeCell ref="E1051:F1051"/>
    <mergeCell ref="C738:D738"/>
    <mergeCell ref="E738:F738"/>
    <mergeCell ref="C883:D883"/>
    <mergeCell ref="E883:F883"/>
    <mergeCell ref="G883:H883"/>
    <mergeCell ref="G621:H621"/>
    <mergeCell ref="G730:H730"/>
    <mergeCell ref="K881:L881"/>
    <mergeCell ref="I882:J882"/>
    <mergeCell ref="K882:L882"/>
    <mergeCell ref="I883:J883"/>
    <mergeCell ref="I576:J576"/>
    <mergeCell ref="K883:L883"/>
    <mergeCell ref="I849:J849"/>
    <mergeCell ref="I631:J631"/>
    <mergeCell ref="I628:J628"/>
    <mergeCell ref="I737:J737"/>
    <mergeCell ref="I626:J626"/>
    <mergeCell ref="K1064:L1064"/>
    <mergeCell ref="A1066:N1066"/>
    <mergeCell ref="K1060:L1060"/>
    <mergeCell ref="K1075:L1075"/>
    <mergeCell ref="I1037:J1037"/>
    <mergeCell ref="E1049:F1049"/>
    <mergeCell ref="G1049:H1049"/>
    <mergeCell ref="K1062:L1062"/>
    <mergeCell ref="K1054:L1054"/>
    <mergeCell ref="K1061:L1061"/>
    <mergeCell ref="I1063:J1063"/>
    <mergeCell ref="G1062:H1062"/>
    <mergeCell ref="K311:L311"/>
    <mergeCell ref="K312:L312"/>
    <mergeCell ref="K313:L313"/>
    <mergeCell ref="K442:L442"/>
    <mergeCell ref="K434:L434"/>
    <mergeCell ref="K435:L435"/>
    <mergeCell ref="K437:L437"/>
    <mergeCell ref="K438:L438"/>
    <mergeCell ref="K429:L429"/>
    <mergeCell ref="K396:L396"/>
    <mergeCell ref="K427:L427"/>
    <mergeCell ref="K424:L424"/>
    <mergeCell ref="K418:L418"/>
    <mergeCell ref="K364:L364"/>
    <mergeCell ref="K307:L307"/>
    <mergeCell ref="K308:L308"/>
    <mergeCell ref="K366:L366"/>
    <mergeCell ref="K358:L358"/>
    <mergeCell ref="K359:L359"/>
    <mergeCell ref="K360:L360"/>
    <mergeCell ref="K324:L324"/>
    <mergeCell ref="K355:L355"/>
    <mergeCell ref="K357:L357"/>
    <mergeCell ref="C884:D884"/>
    <mergeCell ref="E884:F884"/>
    <mergeCell ref="G884:H884"/>
    <mergeCell ref="I884:J884"/>
    <mergeCell ref="K884:L884"/>
    <mergeCell ref="E1078:F1078"/>
    <mergeCell ref="G1061:H1061"/>
    <mergeCell ref="I1076:J1076"/>
    <mergeCell ref="G1073:H1073"/>
    <mergeCell ref="G1072:H1072"/>
    <mergeCell ref="G1195:H1195"/>
    <mergeCell ref="I1126:J1126"/>
    <mergeCell ref="C1130:D1130"/>
    <mergeCell ref="K1250:L1250"/>
    <mergeCell ref="E1064:F1064"/>
    <mergeCell ref="K1165:L1165"/>
    <mergeCell ref="K1076:L1076"/>
    <mergeCell ref="I1184:J1184"/>
    <mergeCell ref="A1082:J1082"/>
    <mergeCell ref="I1259:J1259"/>
    <mergeCell ref="G1124:H1124"/>
    <mergeCell ref="G1064:H1064"/>
    <mergeCell ref="I1249:J1249"/>
    <mergeCell ref="E1249:F1249"/>
    <mergeCell ref="O1594:P1594"/>
    <mergeCell ref="O1593:P1593"/>
    <mergeCell ref="O1592:P1592"/>
    <mergeCell ref="O1591:P1591"/>
    <mergeCell ref="G1269:H1269"/>
    <mergeCell ref="I1269:J1269"/>
    <mergeCell ref="G1282:H1282"/>
    <mergeCell ref="G1397:H1397"/>
    <mergeCell ref="G1405:H1405"/>
    <mergeCell ref="G1413:H1413"/>
    <mergeCell ref="B1249:B1251"/>
    <mergeCell ref="C1250:D1250"/>
    <mergeCell ref="I1250:J1250"/>
    <mergeCell ref="C1329:D1329"/>
    <mergeCell ref="E1373:F1373"/>
    <mergeCell ref="A1249:A1251"/>
    <mergeCell ref="G1154:H1154"/>
    <mergeCell ref="A1237:A1238"/>
    <mergeCell ref="E1135:F1135"/>
    <mergeCell ref="G1135:H1135"/>
    <mergeCell ref="G1237:H1237"/>
    <mergeCell ref="G1145:H1145"/>
    <mergeCell ref="A1199:H1199"/>
    <mergeCell ref="G1153:H1153"/>
    <mergeCell ref="G1151:H1151"/>
    <mergeCell ref="E1071:F1071"/>
    <mergeCell ref="G1113:H1113"/>
    <mergeCell ref="E1075:F1075"/>
    <mergeCell ref="E1092:F1092"/>
    <mergeCell ref="A1085:I1085"/>
    <mergeCell ref="I1077:J1077"/>
    <mergeCell ref="A1089:J1089"/>
    <mergeCell ref="C1111:D1111"/>
    <mergeCell ref="C1112:D1112"/>
    <mergeCell ref="C1074:D1074"/>
    <mergeCell ref="I1055:J1055"/>
    <mergeCell ref="G1060:H1060"/>
    <mergeCell ref="G1059:H1059"/>
    <mergeCell ref="E1058:F1058"/>
    <mergeCell ref="I1058:J1058"/>
    <mergeCell ref="G1129:H1129"/>
    <mergeCell ref="E1061:F1061"/>
    <mergeCell ref="I1062:J1062"/>
    <mergeCell ref="E1062:F1062"/>
    <mergeCell ref="E1063:F1063"/>
    <mergeCell ref="G1055:H1055"/>
    <mergeCell ref="G1033:H1033"/>
    <mergeCell ref="G1037:H1037"/>
    <mergeCell ref="G1041:H1041"/>
    <mergeCell ref="G1052:H1052"/>
    <mergeCell ref="G1050:H1050"/>
    <mergeCell ref="G1054:H1054"/>
    <mergeCell ref="E1032:F1032"/>
    <mergeCell ref="C1031:D1031"/>
    <mergeCell ref="E1042:F1042"/>
    <mergeCell ref="C1040:D1040"/>
    <mergeCell ref="E1031:F1031"/>
    <mergeCell ref="G1031:H1031"/>
    <mergeCell ref="G1032:H1032"/>
    <mergeCell ref="I1032:J1032"/>
    <mergeCell ref="I1031:J1031"/>
    <mergeCell ref="C1030:D1030"/>
    <mergeCell ref="E1033:F1033"/>
    <mergeCell ref="I1052:J1052"/>
    <mergeCell ref="E1043:F1043"/>
    <mergeCell ref="G1042:H1042"/>
    <mergeCell ref="I1048:J1048"/>
    <mergeCell ref="I1043:J1043"/>
    <mergeCell ref="I1042:J1042"/>
    <mergeCell ref="I990:J990"/>
    <mergeCell ref="I962:J962"/>
    <mergeCell ref="E949:F949"/>
    <mergeCell ref="G953:H953"/>
    <mergeCell ref="C965:D965"/>
    <mergeCell ref="C1041:D1041"/>
    <mergeCell ref="I1040:J1040"/>
    <mergeCell ref="G1039:H1039"/>
    <mergeCell ref="I1038:J1038"/>
    <mergeCell ref="E1040:F1040"/>
    <mergeCell ref="C972:D972"/>
    <mergeCell ref="C970:D970"/>
    <mergeCell ref="A944:J944"/>
    <mergeCell ref="G885:H885"/>
    <mergeCell ref="I885:J885"/>
    <mergeCell ref="A904:H904"/>
    <mergeCell ref="C913:D913"/>
    <mergeCell ref="A900:H900"/>
    <mergeCell ref="C914:D914"/>
    <mergeCell ref="E955:F955"/>
    <mergeCell ref="E739:F739"/>
    <mergeCell ref="E731:F731"/>
    <mergeCell ref="G731:H731"/>
    <mergeCell ref="G735:H735"/>
    <mergeCell ref="G745:H745"/>
    <mergeCell ref="G738:H738"/>
    <mergeCell ref="G737:H737"/>
    <mergeCell ref="C928:D928"/>
    <mergeCell ref="C941:D941"/>
    <mergeCell ref="G1133:H1133"/>
    <mergeCell ref="I809:J809"/>
    <mergeCell ref="G848:H848"/>
    <mergeCell ref="I815:J815"/>
    <mergeCell ref="E1037:F1037"/>
    <mergeCell ref="E1016:F1016"/>
    <mergeCell ref="E864:F864"/>
    <mergeCell ref="C870:D870"/>
    <mergeCell ref="I1186:J1186"/>
    <mergeCell ref="I1056:J1056"/>
    <mergeCell ref="I865:J865"/>
    <mergeCell ref="I917:J917"/>
    <mergeCell ref="I928:J928"/>
    <mergeCell ref="I806:J806"/>
    <mergeCell ref="I961:J961"/>
    <mergeCell ref="I857:J857"/>
    <mergeCell ref="A854:J854"/>
    <mergeCell ref="G866:H866"/>
    <mergeCell ref="I833:J833"/>
    <mergeCell ref="I949:J949"/>
    <mergeCell ref="I960:J960"/>
    <mergeCell ref="G233:H233"/>
    <mergeCell ref="I259:J259"/>
    <mergeCell ref="I264:J264"/>
    <mergeCell ref="G630:H630"/>
    <mergeCell ref="I741:J741"/>
    <mergeCell ref="I630:J630"/>
    <mergeCell ref="I746:J746"/>
    <mergeCell ref="E265:F265"/>
    <mergeCell ref="G268:H268"/>
    <mergeCell ref="I307:J307"/>
    <mergeCell ref="I847:J847"/>
    <mergeCell ref="G989:H989"/>
    <mergeCell ref="G886:H886"/>
    <mergeCell ref="G833:H833"/>
    <mergeCell ref="I343:J343"/>
    <mergeCell ref="I276:J276"/>
    <mergeCell ref="I918:J918"/>
    <mergeCell ref="G338:H338"/>
    <mergeCell ref="G1121:H1121"/>
    <mergeCell ref="I335:J335"/>
    <mergeCell ref="G628:H628"/>
    <mergeCell ref="I680:J680"/>
    <mergeCell ref="I735:J735"/>
    <mergeCell ref="G734:H734"/>
    <mergeCell ref="I627:J627"/>
    <mergeCell ref="I1054:J1054"/>
    <mergeCell ref="I640:J640"/>
    <mergeCell ref="C188:D188"/>
    <mergeCell ref="I300:J300"/>
    <mergeCell ref="E189:F189"/>
    <mergeCell ref="I277:J277"/>
    <mergeCell ref="I265:J265"/>
    <mergeCell ref="A215:J215"/>
    <mergeCell ref="C278:D278"/>
    <mergeCell ref="C277:D277"/>
    <mergeCell ref="I262:J262"/>
    <mergeCell ref="I233:J233"/>
    <mergeCell ref="K365:L365"/>
    <mergeCell ref="I168:J168"/>
    <mergeCell ref="I191:J191"/>
    <mergeCell ref="I189:J189"/>
    <mergeCell ref="I178:J178"/>
    <mergeCell ref="I320:J320"/>
    <mergeCell ref="I324:J324"/>
    <mergeCell ref="I321:J321"/>
    <mergeCell ref="I306:J306"/>
    <mergeCell ref="I172:J172"/>
    <mergeCell ref="G467:H467"/>
    <mergeCell ref="I464:J464"/>
    <mergeCell ref="K428:L428"/>
    <mergeCell ref="G401:H401"/>
    <mergeCell ref="K421:L421"/>
    <mergeCell ref="K419:L419"/>
    <mergeCell ref="K420:L420"/>
    <mergeCell ref="K430:L430"/>
    <mergeCell ref="K436:L436"/>
    <mergeCell ref="K443:L443"/>
    <mergeCell ref="M384:N384"/>
    <mergeCell ref="K367:L367"/>
    <mergeCell ref="M382:N382"/>
    <mergeCell ref="M383:N383"/>
    <mergeCell ref="K376:L376"/>
    <mergeCell ref="K377:L377"/>
    <mergeCell ref="M381:N381"/>
    <mergeCell ref="M373:N373"/>
    <mergeCell ref="K373:L373"/>
    <mergeCell ref="K378:L378"/>
    <mergeCell ref="M363:N363"/>
    <mergeCell ref="K361:L361"/>
    <mergeCell ref="K309:L309"/>
    <mergeCell ref="K310:L310"/>
    <mergeCell ref="M371:N371"/>
    <mergeCell ref="M361:N361"/>
    <mergeCell ref="K369:L369"/>
    <mergeCell ref="K322:L322"/>
    <mergeCell ref="M341:N341"/>
    <mergeCell ref="M342:N342"/>
    <mergeCell ref="I612:J612"/>
    <mergeCell ref="I552:J552"/>
    <mergeCell ref="I560:J560"/>
    <mergeCell ref="G608:H608"/>
    <mergeCell ref="I611:J611"/>
    <mergeCell ref="E609:F609"/>
    <mergeCell ref="E610:F610"/>
    <mergeCell ref="G584:H584"/>
    <mergeCell ref="E608:F608"/>
    <mergeCell ref="G593:H593"/>
    <mergeCell ref="I355:J355"/>
    <mergeCell ref="I369:J369"/>
    <mergeCell ref="I476:J476"/>
    <mergeCell ref="I373:J373"/>
    <mergeCell ref="I534:J534"/>
    <mergeCell ref="I540:J540"/>
    <mergeCell ref="I442:J442"/>
    <mergeCell ref="I395:J396"/>
    <mergeCell ref="I376:J376"/>
    <mergeCell ref="I378:J378"/>
    <mergeCell ref="I546:J546"/>
    <mergeCell ref="I568:J568"/>
    <mergeCell ref="I551:J551"/>
    <mergeCell ref="I543:J543"/>
    <mergeCell ref="I583:J583"/>
    <mergeCell ref="I574:J574"/>
    <mergeCell ref="I567:J567"/>
    <mergeCell ref="I549:J549"/>
    <mergeCell ref="A572:J572"/>
    <mergeCell ref="E576:F576"/>
    <mergeCell ref="I33:J33"/>
    <mergeCell ref="E34:F34"/>
    <mergeCell ref="C189:D189"/>
    <mergeCell ref="I544:J544"/>
    <mergeCell ref="I625:J625"/>
    <mergeCell ref="I554:J554"/>
    <mergeCell ref="I622:J622"/>
    <mergeCell ref="I610:J610"/>
    <mergeCell ref="I606:J606"/>
    <mergeCell ref="I613:J613"/>
    <mergeCell ref="C299:D299"/>
    <mergeCell ref="C243:D243"/>
    <mergeCell ref="C276:D276"/>
    <mergeCell ref="C177:D177"/>
    <mergeCell ref="C178:D178"/>
    <mergeCell ref="M25:N25"/>
    <mergeCell ref="M26:N26"/>
    <mergeCell ref="A28:J28"/>
    <mergeCell ref="I35:J35"/>
    <mergeCell ref="E35:F35"/>
    <mergeCell ref="I263:J263"/>
    <mergeCell ref="C187:D187"/>
    <mergeCell ref="I166:J166"/>
    <mergeCell ref="I286:J286"/>
    <mergeCell ref="G178:H178"/>
    <mergeCell ref="G173:H173"/>
    <mergeCell ref="I278:J278"/>
    <mergeCell ref="G170:H170"/>
    <mergeCell ref="G176:H176"/>
    <mergeCell ref="C175:D175"/>
    <mergeCell ref="C31:D31"/>
    <mergeCell ref="M266:N266"/>
    <mergeCell ref="I261:J261"/>
    <mergeCell ref="C279:D279"/>
    <mergeCell ref="C330:D330"/>
    <mergeCell ref="C335:D335"/>
    <mergeCell ref="C190:D190"/>
    <mergeCell ref="C233:D233"/>
    <mergeCell ref="E233:F233"/>
    <mergeCell ref="G246:H246"/>
    <mergeCell ref="G463:H463"/>
    <mergeCell ref="I347:J347"/>
    <mergeCell ref="I328:J328"/>
    <mergeCell ref="I287:J287"/>
    <mergeCell ref="I36:J36"/>
    <mergeCell ref="M27:N27"/>
    <mergeCell ref="G32:H32"/>
    <mergeCell ref="A27:J27"/>
    <mergeCell ref="I266:J266"/>
    <mergeCell ref="C33:D33"/>
    <mergeCell ref="A271:H271"/>
    <mergeCell ref="I338:J338"/>
    <mergeCell ref="E732:F732"/>
    <mergeCell ref="E616:F616"/>
    <mergeCell ref="I619:J619"/>
    <mergeCell ref="E613:F613"/>
    <mergeCell ref="I620:J620"/>
    <mergeCell ref="I349:J349"/>
    <mergeCell ref="G462:H462"/>
    <mergeCell ref="G539:H539"/>
    <mergeCell ref="M265:N265"/>
    <mergeCell ref="M268:N268"/>
    <mergeCell ref="I288:J288"/>
    <mergeCell ref="I267:J267"/>
    <mergeCell ref="I308:J308"/>
    <mergeCell ref="I342:J342"/>
    <mergeCell ref="I339:J339"/>
    <mergeCell ref="K305:L305"/>
    <mergeCell ref="K318:L318"/>
    <mergeCell ref="K306:L306"/>
    <mergeCell ref="M28:N28"/>
    <mergeCell ref="M29:N29"/>
    <mergeCell ref="M31:N31"/>
    <mergeCell ref="I214:J214"/>
    <mergeCell ref="I296:J296"/>
    <mergeCell ref="M393:N393"/>
    <mergeCell ref="M364:N364"/>
    <mergeCell ref="M264:N264"/>
    <mergeCell ref="I279:J279"/>
    <mergeCell ref="I341:J341"/>
    <mergeCell ref="I703:J703"/>
    <mergeCell ref="C805:D805"/>
    <mergeCell ref="E819:F819"/>
    <mergeCell ref="I804:J804"/>
    <mergeCell ref="A777:H777"/>
    <mergeCell ref="G766:H766"/>
    <mergeCell ref="C767:D767"/>
    <mergeCell ref="C770:D770"/>
    <mergeCell ref="G763:H763"/>
    <mergeCell ref="E733:F733"/>
    <mergeCell ref="C864:D864"/>
    <mergeCell ref="I856:J856"/>
    <mergeCell ref="G865:H865"/>
    <mergeCell ref="C866:D866"/>
    <mergeCell ref="C861:D861"/>
    <mergeCell ref="E1030:F1030"/>
    <mergeCell ref="E858:F858"/>
    <mergeCell ref="I864:J864"/>
    <mergeCell ref="E871:F871"/>
    <mergeCell ref="C891:D891"/>
    <mergeCell ref="C1042:D1042"/>
    <mergeCell ref="C1055:D1055"/>
    <mergeCell ref="C1052:D1052"/>
    <mergeCell ref="E1038:F1038"/>
    <mergeCell ref="E1039:F1039"/>
    <mergeCell ref="E1041:F1041"/>
    <mergeCell ref="C1043:D1043"/>
    <mergeCell ref="C1039:D1039"/>
    <mergeCell ref="C1048:D1048"/>
    <mergeCell ref="C1064:D1064"/>
    <mergeCell ref="G845:H845"/>
    <mergeCell ref="C814:D814"/>
    <mergeCell ref="C829:D829"/>
    <mergeCell ref="C833:D833"/>
    <mergeCell ref="E833:F833"/>
    <mergeCell ref="C823:D823"/>
    <mergeCell ref="G827:H827"/>
    <mergeCell ref="C836:D836"/>
    <mergeCell ref="E836:F836"/>
    <mergeCell ref="G819:H819"/>
    <mergeCell ref="C737:D737"/>
    <mergeCell ref="C730:D730"/>
    <mergeCell ref="C735:D735"/>
    <mergeCell ref="C766:D766"/>
    <mergeCell ref="E759:F759"/>
    <mergeCell ref="E742:F742"/>
    <mergeCell ref="C740:D740"/>
    <mergeCell ref="E758:F758"/>
    <mergeCell ref="E740:F740"/>
    <mergeCell ref="E760:F760"/>
    <mergeCell ref="E756:F756"/>
    <mergeCell ref="C746:D746"/>
    <mergeCell ref="I786:J786"/>
    <mergeCell ref="I770:J770"/>
    <mergeCell ref="A783:J783"/>
    <mergeCell ref="A779:H779"/>
    <mergeCell ref="E786:F786"/>
    <mergeCell ref="C759:D759"/>
    <mergeCell ref="E746:F746"/>
    <mergeCell ref="I766:J766"/>
    <mergeCell ref="E761:F761"/>
    <mergeCell ref="E680:F680"/>
    <mergeCell ref="C650:D650"/>
    <mergeCell ref="E679:F679"/>
    <mergeCell ref="E650:F650"/>
    <mergeCell ref="E671:F671"/>
    <mergeCell ref="G678:H678"/>
    <mergeCell ref="C745:D745"/>
    <mergeCell ref="G682:H682"/>
    <mergeCell ref="C757:D757"/>
    <mergeCell ref="C713:D713"/>
    <mergeCell ref="E734:F734"/>
    <mergeCell ref="C741:D741"/>
    <mergeCell ref="E757:F757"/>
    <mergeCell ref="C756:D756"/>
    <mergeCell ref="C715:D715"/>
    <mergeCell ref="C714:D714"/>
    <mergeCell ref="C719:D719"/>
    <mergeCell ref="C722:D722"/>
    <mergeCell ref="E730:F730"/>
    <mergeCell ref="C640:D640"/>
    <mergeCell ref="A661:H661"/>
    <mergeCell ref="C651:D651"/>
    <mergeCell ref="A655:H655"/>
    <mergeCell ref="C649:D649"/>
    <mergeCell ref="G671:H671"/>
    <mergeCell ref="G679:H679"/>
    <mergeCell ref="E727:F727"/>
    <mergeCell ref="C631:D631"/>
    <mergeCell ref="I364:J364"/>
    <mergeCell ref="I260:J260"/>
    <mergeCell ref="G349:H349"/>
    <mergeCell ref="G631:H631"/>
    <mergeCell ref="E646:F646"/>
    <mergeCell ref="I636:J636"/>
    <mergeCell ref="G625:H625"/>
    <mergeCell ref="C627:D627"/>
    <mergeCell ref="E636:F636"/>
    <mergeCell ref="C629:D629"/>
    <mergeCell ref="I633:J633"/>
    <mergeCell ref="G626:H626"/>
    <mergeCell ref="I632:J632"/>
    <mergeCell ref="I616:J616"/>
    <mergeCell ref="C616:D616"/>
    <mergeCell ref="E618:F618"/>
    <mergeCell ref="G616:H616"/>
    <mergeCell ref="C630:D630"/>
    <mergeCell ref="C628:D628"/>
    <mergeCell ref="C625:D625"/>
    <mergeCell ref="I629:J629"/>
    <mergeCell ref="I621:J621"/>
    <mergeCell ref="I617:J617"/>
    <mergeCell ref="I618:J618"/>
    <mergeCell ref="I609:J609"/>
    <mergeCell ref="G611:H611"/>
    <mergeCell ref="G610:H610"/>
    <mergeCell ref="G620:H620"/>
    <mergeCell ref="G627:H627"/>
    <mergeCell ref="C619:D619"/>
    <mergeCell ref="E617:F617"/>
    <mergeCell ref="C618:D618"/>
    <mergeCell ref="G619:H619"/>
    <mergeCell ref="E619:F619"/>
    <mergeCell ref="G617:H617"/>
    <mergeCell ref="G618:H618"/>
    <mergeCell ref="I607:J607"/>
    <mergeCell ref="I608:J608"/>
    <mergeCell ref="E584:F584"/>
    <mergeCell ref="A602:J602"/>
    <mergeCell ref="C584:D584"/>
    <mergeCell ref="E585:F585"/>
    <mergeCell ref="G607:H607"/>
    <mergeCell ref="G606:H606"/>
    <mergeCell ref="G605:H605"/>
    <mergeCell ref="E586:F586"/>
    <mergeCell ref="C581:D581"/>
    <mergeCell ref="G587:H587"/>
    <mergeCell ref="E568:F568"/>
    <mergeCell ref="G576:H576"/>
    <mergeCell ref="C571:D571"/>
    <mergeCell ref="C574:D574"/>
    <mergeCell ref="G570:H570"/>
    <mergeCell ref="E569:F569"/>
    <mergeCell ref="C569:D569"/>
    <mergeCell ref="C570:D570"/>
    <mergeCell ref="C563:D563"/>
    <mergeCell ref="E564:F564"/>
    <mergeCell ref="E557:F557"/>
    <mergeCell ref="C568:D568"/>
    <mergeCell ref="G574:H574"/>
    <mergeCell ref="C554:D554"/>
    <mergeCell ref="C552:D552"/>
    <mergeCell ref="C550:D550"/>
    <mergeCell ref="G542:H542"/>
    <mergeCell ref="C558:D558"/>
    <mergeCell ref="E561:F561"/>
    <mergeCell ref="E543:F543"/>
    <mergeCell ref="G544:H544"/>
    <mergeCell ref="C567:D567"/>
    <mergeCell ref="C544:D544"/>
    <mergeCell ref="E553:F553"/>
    <mergeCell ref="C543:D543"/>
    <mergeCell ref="C539:D539"/>
    <mergeCell ref="C540:D540"/>
    <mergeCell ref="E551:F551"/>
    <mergeCell ref="C545:D545"/>
    <mergeCell ref="C549:D549"/>
    <mergeCell ref="C561:D561"/>
    <mergeCell ref="E581:F581"/>
    <mergeCell ref="G568:H568"/>
    <mergeCell ref="G550:H550"/>
    <mergeCell ref="E546:F546"/>
    <mergeCell ref="G557:H557"/>
    <mergeCell ref="E550:F550"/>
    <mergeCell ref="G553:H553"/>
    <mergeCell ref="G567:H567"/>
    <mergeCell ref="E554:F554"/>
    <mergeCell ref="E558:F558"/>
    <mergeCell ref="C428:D428"/>
    <mergeCell ref="I582:J582"/>
    <mergeCell ref="I581:J581"/>
    <mergeCell ref="C557:D557"/>
    <mergeCell ref="G564:H564"/>
    <mergeCell ref="C559:D559"/>
    <mergeCell ref="C582:D582"/>
    <mergeCell ref="E577:F577"/>
    <mergeCell ref="I578:J578"/>
    <mergeCell ref="E563:F563"/>
    <mergeCell ref="C402:D402"/>
    <mergeCell ref="E606:F606"/>
    <mergeCell ref="A592:H592"/>
    <mergeCell ref="E593:F593"/>
    <mergeCell ref="C575:D575"/>
    <mergeCell ref="C421:D421"/>
    <mergeCell ref="C605:D605"/>
    <mergeCell ref="G585:H585"/>
    <mergeCell ref="C437:D437"/>
    <mergeCell ref="C445:D445"/>
    <mergeCell ref="A381:A382"/>
    <mergeCell ref="C390:D390"/>
    <mergeCell ref="C375:D375"/>
    <mergeCell ref="C383:D383"/>
    <mergeCell ref="C384:D384"/>
    <mergeCell ref="E388:F388"/>
    <mergeCell ref="E387:F387"/>
    <mergeCell ref="C377:D377"/>
    <mergeCell ref="C378:D378"/>
    <mergeCell ref="B381:B382"/>
    <mergeCell ref="C385:D385"/>
    <mergeCell ref="G705:H705"/>
    <mergeCell ref="C706:D706"/>
    <mergeCell ref="G377:H377"/>
    <mergeCell ref="C409:D409"/>
    <mergeCell ref="G410:H410"/>
    <mergeCell ref="C444:D444"/>
    <mergeCell ref="C513:D513"/>
    <mergeCell ref="G575:H575"/>
    <mergeCell ref="I704:J704"/>
    <mergeCell ref="E384:F384"/>
    <mergeCell ref="C388:D388"/>
    <mergeCell ref="I706:J706"/>
    <mergeCell ref="G706:H706"/>
    <mergeCell ref="B395:B396"/>
    <mergeCell ref="C413:D413"/>
    <mergeCell ref="G402:H402"/>
    <mergeCell ref="C400:D400"/>
    <mergeCell ref="C395:D395"/>
    <mergeCell ref="I707:J707"/>
    <mergeCell ref="E705:F705"/>
    <mergeCell ref="A395:A396"/>
    <mergeCell ref="E567:F567"/>
    <mergeCell ref="C424:D424"/>
    <mergeCell ref="C430:D430"/>
    <mergeCell ref="C403:D403"/>
    <mergeCell ref="C404:D404"/>
    <mergeCell ref="E531:F531"/>
    <mergeCell ref="E535:F535"/>
    <mergeCell ref="C408:D408"/>
    <mergeCell ref="G860:H860"/>
    <mergeCell ref="E766:F766"/>
    <mergeCell ref="E765:F765"/>
    <mergeCell ref="E767:F767"/>
    <mergeCell ref="C797:D797"/>
    <mergeCell ref="C765:D765"/>
    <mergeCell ref="C818:D818"/>
    <mergeCell ref="C815:D815"/>
    <mergeCell ref="C705:D705"/>
    <mergeCell ref="I852:J852"/>
    <mergeCell ref="I863:J863"/>
    <mergeCell ref="G864:H864"/>
    <mergeCell ref="E860:F860"/>
    <mergeCell ref="G850:H850"/>
    <mergeCell ref="G857:H857"/>
    <mergeCell ref="G858:H858"/>
    <mergeCell ref="C886:D886"/>
    <mergeCell ref="E866:F866"/>
    <mergeCell ref="C885:D885"/>
    <mergeCell ref="E863:F863"/>
    <mergeCell ref="C872:D872"/>
    <mergeCell ref="C875:D875"/>
    <mergeCell ref="C873:D873"/>
    <mergeCell ref="C878:D878"/>
    <mergeCell ref="E870:F870"/>
    <mergeCell ref="C877:D877"/>
    <mergeCell ref="C894:D894"/>
    <mergeCell ref="E847:F847"/>
    <mergeCell ref="E845:F845"/>
    <mergeCell ref="E846:F846"/>
    <mergeCell ref="E872:F872"/>
    <mergeCell ref="E861:F861"/>
    <mergeCell ref="E851:F851"/>
    <mergeCell ref="E849:F849"/>
    <mergeCell ref="E848:F848"/>
    <mergeCell ref="E869:F869"/>
    <mergeCell ref="C849:D849"/>
    <mergeCell ref="A906:I906"/>
    <mergeCell ref="E913:F913"/>
    <mergeCell ref="G914:H914"/>
    <mergeCell ref="A903:H903"/>
    <mergeCell ref="G913:H913"/>
    <mergeCell ref="E878:F878"/>
    <mergeCell ref="E895:F895"/>
    <mergeCell ref="E894:F894"/>
    <mergeCell ref="C893:D893"/>
    <mergeCell ref="E852:F852"/>
    <mergeCell ref="E850:F850"/>
    <mergeCell ref="C850:D850"/>
    <mergeCell ref="E853:F853"/>
    <mergeCell ref="E856:F856"/>
    <mergeCell ref="C852:D852"/>
    <mergeCell ref="C896:D896"/>
    <mergeCell ref="E886:F886"/>
    <mergeCell ref="G427:H427"/>
    <mergeCell ref="G429:H429"/>
    <mergeCell ref="C319:D319"/>
    <mergeCell ref="C306:D306"/>
    <mergeCell ref="G869:H869"/>
    <mergeCell ref="C871:D871"/>
    <mergeCell ref="E865:F865"/>
    <mergeCell ref="C869:D869"/>
    <mergeCell ref="C398:D398"/>
    <mergeCell ref="C374:D374"/>
    <mergeCell ref="E397:F397"/>
    <mergeCell ref="C386:D386"/>
    <mergeCell ref="E395:F396"/>
    <mergeCell ref="E391:F391"/>
    <mergeCell ref="E390:F390"/>
    <mergeCell ref="E377:F377"/>
    <mergeCell ref="C376:D376"/>
    <mergeCell ref="E389:F389"/>
    <mergeCell ref="C382:D382"/>
    <mergeCell ref="E376:F376"/>
    <mergeCell ref="E374:F374"/>
    <mergeCell ref="E386:F386"/>
    <mergeCell ref="C381:D381"/>
    <mergeCell ref="I284:J284"/>
    <mergeCell ref="C288:D288"/>
    <mergeCell ref="G301:H301"/>
    <mergeCell ref="C296:D296"/>
    <mergeCell ref="E284:F284"/>
    <mergeCell ref="G286:H286"/>
    <mergeCell ref="I285:J285"/>
    <mergeCell ref="I301:J301"/>
    <mergeCell ref="C297:D297"/>
    <mergeCell ref="C290:D290"/>
    <mergeCell ref="I305:J305"/>
    <mergeCell ref="I299:J299"/>
    <mergeCell ref="E286:F286"/>
    <mergeCell ref="G290:H290"/>
    <mergeCell ref="E298:F298"/>
    <mergeCell ref="E288:F288"/>
    <mergeCell ref="E287:F287"/>
    <mergeCell ref="G288:H288"/>
    <mergeCell ref="G297:H297"/>
    <mergeCell ref="G298:H298"/>
    <mergeCell ref="A274:J274"/>
    <mergeCell ref="C268:D268"/>
    <mergeCell ref="I275:J275"/>
    <mergeCell ref="E266:F266"/>
    <mergeCell ref="E279:F279"/>
    <mergeCell ref="G276:H276"/>
    <mergeCell ref="G278:H278"/>
    <mergeCell ref="I268:J268"/>
    <mergeCell ref="E276:F276"/>
    <mergeCell ref="E275:F275"/>
    <mergeCell ref="E259:F259"/>
    <mergeCell ref="C264:D264"/>
    <mergeCell ref="E258:F258"/>
    <mergeCell ref="C261:D261"/>
    <mergeCell ref="E263:F263"/>
    <mergeCell ref="C248:D248"/>
    <mergeCell ref="C263:D263"/>
    <mergeCell ref="E264:F264"/>
    <mergeCell ref="E261:F261"/>
    <mergeCell ref="C207:D207"/>
    <mergeCell ref="C208:D208"/>
    <mergeCell ref="C244:D244"/>
    <mergeCell ref="E247:F247"/>
    <mergeCell ref="E249:F249"/>
    <mergeCell ref="C262:D262"/>
    <mergeCell ref="E207:F207"/>
    <mergeCell ref="C211:D211"/>
    <mergeCell ref="C241:D241"/>
    <mergeCell ref="C221:D221"/>
    <mergeCell ref="E209:F209"/>
    <mergeCell ref="C287:D287"/>
    <mergeCell ref="C857:D857"/>
    <mergeCell ref="E829:F829"/>
    <mergeCell ref="E262:F262"/>
    <mergeCell ref="E245:F245"/>
    <mergeCell ref="E250:F250"/>
    <mergeCell ref="C769:D769"/>
    <mergeCell ref="A771:J771"/>
    <mergeCell ref="E212:F212"/>
    <mergeCell ref="C212:D212"/>
    <mergeCell ref="C260:D260"/>
    <mergeCell ref="C249:D249"/>
    <mergeCell ref="C259:D259"/>
    <mergeCell ref="C225:D225"/>
    <mergeCell ref="C250:D250"/>
    <mergeCell ref="C214:D214"/>
    <mergeCell ref="C862:D862"/>
    <mergeCell ref="G826:H826"/>
    <mergeCell ref="C845:D845"/>
    <mergeCell ref="C853:D853"/>
    <mergeCell ref="C856:D856"/>
    <mergeCell ref="G851:H851"/>
    <mergeCell ref="G856:H856"/>
    <mergeCell ref="E826:F826"/>
    <mergeCell ref="E841:F841"/>
    <mergeCell ref="C848:D848"/>
    <mergeCell ref="I791:J791"/>
    <mergeCell ref="I792:J792"/>
    <mergeCell ref="E807:F807"/>
    <mergeCell ref="C817:D817"/>
    <mergeCell ref="A795:H795"/>
    <mergeCell ref="A794:H794"/>
    <mergeCell ref="E817:F817"/>
    <mergeCell ref="E814:F814"/>
    <mergeCell ref="C816:D816"/>
    <mergeCell ref="I805:J805"/>
    <mergeCell ref="C826:D826"/>
    <mergeCell ref="I765:J765"/>
    <mergeCell ref="I767:J767"/>
    <mergeCell ref="E797:F797"/>
    <mergeCell ref="C786:D786"/>
    <mergeCell ref="I798:J798"/>
    <mergeCell ref="C789:D789"/>
    <mergeCell ref="C793:D793"/>
    <mergeCell ref="C825:D825"/>
    <mergeCell ref="I826:J826"/>
    <mergeCell ref="C788:D788"/>
    <mergeCell ref="E787:F787"/>
    <mergeCell ref="E632:F632"/>
    <mergeCell ref="G723:H723"/>
    <mergeCell ref="E721:F721"/>
    <mergeCell ref="A662:H662"/>
    <mergeCell ref="E768:F768"/>
    <mergeCell ref="C733:D733"/>
    <mergeCell ref="C787:D787"/>
    <mergeCell ref="C761:D761"/>
    <mergeCell ref="G636:H636"/>
    <mergeCell ref="G637:H637"/>
    <mergeCell ref="C638:D638"/>
    <mergeCell ref="C637:D637"/>
    <mergeCell ref="G639:H639"/>
    <mergeCell ref="G717:H717"/>
    <mergeCell ref="C712:D712"/>
    <mergeCell ref="E712:F712"/>
    <mergeCell ref="A708:J708"/>
    <mergeCell ref="C707:D707"/>
    <mergeCell ref="C798:D798"/>
    <mergeCell ref="C728:D728"/>
    <mergeCell ref="E728:F728"/>
    <mergeCell ref="E735:F735"/>
    <mergeCell ref="C586:D586"/>
    <mergeCell ref="E625:F625"/>
    <mergeCell ref="E622:F622"/>
    <mergeCell ref="E587:F587"/>
    <mergeCell ref="E637:F637"/>
    <mergeCell ref="C717:D717"/>
    <mergeCell ref="C612:D612"/>
    <mergeCell ref="C608:D608"/>
    <mergeCell ref="C610:D610"/>
    <mergeCell ref="C609:D609"/>
    <mergeCell ref="C593:D593"/>
    <mergeCell ref="C607:D607"/>
    <mergeCell ref="E521:F521"/>
    <mergeCell ref="E575:F575"/>
    <mergeCell ref="C553:D553"/>
    <mergeCell ref="G549:H549"/>
    <mergeCell ref="C521:D521"/>
    <mergeCell ref="E570:F570"/>
    <mergeCell ref="E574:F574"/>
    <mergeCell ref="G571:H571"/>
    <mergeCell ref="E571:F571"/>
    <mergeCell ref="C537:D537"/>
    <mergeCell ref="C523:D523"/>
    <mergeCell ref="C621:D621"/>
    <mergeCell ref="G581:H581"/>
    <mergeCell ref="C620:D620"/>
    <mergeCell ref="G582:H582"/>
    <mergeCell ref="E612:F612"/>
    <mergeCell ref="E620:F620"/>
    <mergeCell ref="C617:D617"/>
    <mergeCell ref="G561:H561"/>
    <mergeCell ref="C613:D613"/>
    <mergeCell ref="C515:D515"/>
    <mergeCell ref="C473:D473"/>
    <mergeCell ref="C466:D466"/>
    <mergeCell ref="C622:D622"/>
    <mergeCell ref="C512:D512"/>
    <mergeCell ref="C606:D606"/>
    <mergeCell ref="C611:D611"/>
    <mergeCell ref="C585:D585"/>
    <mergeCell ref="C576:D576"/>
    <mergeCell ref="C578:D578"/>
    <mergeCell ref="E513:F513"/>
    <mergeCell ref="E465:F465"/>
    <mergeCell ref="C474:D474"/>
    <mergeCell ref="E436:F436"/>
    <mergeCell ref="C438:D438"/>
    <mergeCell ref="C435:D435"/>
    <mergeCell ref="E475:F475"/>
    <mergeCell ref="C443:D443"/>
    <mergeCell ref="C478:D478"/>
    <mergeCell ref="C442:D442"/>
    <mergeCell ref="C441:D441"/>
    <mergeCell ref="E443:F443"/>
    <mergeCell ref="E471:F471"/>
    <mergeCell ref="E434:F434"/>
    <mergeCell ref="E473:F473"/>
    <mergeCell ref="E466:F466"/>
    <mergeCell ref="C464:D464"/>
    <mergeCell ref="C465:D465"/>
    <mergeCell ref="E472:F472"/>
    <mergeCell ref="C470:D470"/>
    <mergeCell ref="E435:F435"/>
    <mergeCell ref="E445:F445"/>
    <mergeCell ref="E476:F476"/>
    <mergeCell ref="E463:F463"/>
    <mergeCell ref="E474:F474"/>
    <mergeCell ref="E462:F462"/>
    <mergeCell ref="E464:F464"/>
    <mergeCell ref="E400:F400"/>
    <mergeCell ref="E429:F429"/>
    <mergeCell ref="G428:H428"/>
    <mergeCell ref="E409:F409"/>
    <mergeCell ref="C429:D429"/>
    <mergeCell ref="C418:D418"/>
    <mergeCell ref="C410:D410"/>
    <mergeCell ref="C412:D412"/>
    <mergeCell ref="C420:D420"/>
    <mergeCell ref="C422:D422"/>
    <mergeCell ref="E208:F208"/>
    <mergeCell ref="G418:H418"/>
    <mergeCell ref="E421:F421"/>
    <mergeCell ref="A431:J431"/>
    <mergeCell ref="C399:D399"/>
    <mergeCell ref="C401:D401"/>
    <mergeCell ref="E399:F399"/>
    <mergeCell ref="E401:F401"/>
    <mergeCell ref="E420:F420"/>
    <mergeCell ref="C423:D423"/>
    <mergeCell ref="I230:J230"/>
    <mergeCell ref="C231:D231"/>
    <mergeCell ref="I231:J231"/>
    <mergeCell ref="C232:D232"/>
    <mergeCell ref="E232:F232"/>
    <mergeCell ref="G232:H232"/>
    <mergeCell ref="I232:J232"/>
    <mergeCell ref="C230:D230"/>
    <mergeCell ref="E168:F168"/>
    <mergeCell ref="E185:F185"/>
    <mergeCell ref="E175:F175"/>
    <mergeCell ref="E174:F174"/>
    <mergeCell ref="C176:D176"/>
    <mergeCell ref="C173:D173"/>
    <mergeCell ref="E173:F173"/>
    <mergeCell ref="C185:D185"/>
    <mergeCell ref="E178:F178"/>
    <mergeCell ref="G120:H120"/>
    <mergeCell ref="C166:D166"/>
    <mergeCell ref="C165:D165"/>
    <mergeCell ref="E172:F172"/>
    <mergeCell ref="C169:D169"/>
    <mergeCell ref="E167:F167"/>
    <mergeCell ref="E166:F166"/>
    <mergeCell ref="C168:D168"/>
    <mergeCell ref="E169:F169"/>
    <mergeCell ref="E170:F170"/>
    <mergeCell ref="C105:D105"/>
    <mergeCell ref="C129:D129"/>
    <mergeCell ref="I151:J151"/>
    <mergeCell ref="C140:D140"/>
    <mergeCell ref="I141:J141"/>
    <mergeCell ref="G149:H149"/>
    <mergeCell ref="E142:F142"/>
    <mergeCell ref="C119:D119"/>
    <mergeCell ref="C132:D132"/>
    <mergeCell ref="E112:F112"/>
    <mergeCell ref="C68:D68"/>
    <mergeCell ref="C69:D69"/>
    <mergeCell ref="A77:H77"/>
    <mergeCell ref="C88:D88"/>
    <mergeCell ref="I87:J87"/>
    <mergeCell ref="I85:J85"/>
    <mergeCell ref="I83:J83"/>
    <mergeCell ref="I88:J88"/>
    <mergeCell ref="G87:H87"/>
    <mergeCell ref="G88:H88"/>
    <mergeCell ref="E70:F70"/>
    <mergeCell ref="G70:H70"/>
    <mergeCell ref="I76:J79"/>
    <mergeCell ref="A76:H76"/>
    <mergeCell ref="C75:D75"/>
    <mergeCell ref="C70:D70"/>
    <mergeCell ref="I65:J65"/>
    <mergeCell ref="E66:F66"/>
    <mergeCell ref="G66:H66"/>
    <mergeCell ref="G67:H67"/>
    <mergeCell ref="G75:H75"/>
    <mergeCell ref="G65:H65"/>
    <mergeCell ref="I70:J70"/>
    <mergeCell ref="E72:F72"/>
    <mergeCell ref="G72:H72"/>
    <mergeCell ref="I72:J72"/>
    <mergeCell ref="C67:D67"/>
    <mergeCell ref="C66:D66"/>
    <mergeCell ref="I68:J68"/>
    <mergeCell ref="E69:F69"/>
    <mergeCell ref="G68:H68"/>
    <mergeCell ref="I69:J69"/>
    <mergeCell ref="I67:J67"/>
    <mergeCell ref="E67:F67"/>
    <mergeCell ref="I66:J66"/>
    <mergeCell ref="E68:F68"/>
    <mergeCell ref="C65:D65"/>
    <mergeCell ref="G46:H46"/>
    <mergeCell ref="E51:F51"/>
    <mergeCell ref="G51:H51"/>
    <mergeCell ref="E63:F63"/>
    <mergeCell ref="I51:J51"/>
    <mergeCell ref="E65:F65"/>
    <mergeCell ref="G62:H62"/>
    <mergeCell ref="C61:D61"/>
    <mergeCell ref="E61:F61"/>
    <mergeCell ref="G31:H31"/>
    <mergeCell ref="E36:F36"/>
    <mergeCell ref="E31:F31"/>
    <mergeCell ref="I31:J31"/>
    <mergeCell ref="I34:J34"/>
    <mergeCell ref="C60:D60"/>
    <mergeCell ref="E60:F60"/>
    <mergeCell ref="G34:H34"/>
    <mergeCell ref="C36:D36"/>
    <mergeCell ref="I41:J41"/>
    <mergeCell ref="C64:D64"/>
    <mergeCell ref="I32:J32"/>
    <mergeCell ref="C45:D45"/>
    <mergeCell ref="E32:F32"/>
    <mergeCell ref="G44:H44"/>
    <mergeCell ref="C38:D38"/>
    <mergeCell ref="I44:J44"/>
    <mergeCell ref="G39:H39"/>
    <mergeCell ref="C41:D41"/>
    <mergeCell ref="C63:D63"/>
    <mergeCell ref="C32:D32"/>
    <mergeCell ref="I64:J64"/>
    <mergeCell ref="G69:H69"/>
    <mergeCell ref="C34:D34"/>
    <mergeCell ref="C35:D35"/>
    <mergeCell ref="C39:D39"/>
    <mergeCell ref="E39:F39"/>
    <mergeCell ref="G36:H36"/>
    <mergeCell ref="I38:J38"/>
    <mergeCell ref="I60:J60"/>
    <mergeCell ref="I29:J29"/>
    <mergeCell ref="I75:J75"/>
    <mergeCell ref="E45:F45"/>
    <mergeCell ref="G35:H35"/>
    <mergeCell ref="G33:H33"/>
    <mergeCell ref="E33:F33"/>
    <mergeCell ref="I61:J61"/>
    <mergeCell ref="I62:J62"/>
    <mergeCell ref="I63:J63"/>
    <mergeCell ref="G64:H64"/>
    <mergeCell ref="I46:J46"/>
    <mergeCell ref="G45:H45"/>
    <mergeCell ref="I45:J45"/>
    <mergeCell ref="G60:H60"/>
    <mergeCell ref="G61:H61"/>
    <mergeCell ref="E62:F62"/>
    <mergeCell ref="E48:F48"/>
    <mergeCell ref="G48:H48"/>
    <mergeCell ref="I48:J48"/>
    <mergeCell ref="E38:F38"/>
    <mergeCell ref="I42:J42"/>
    <mergeCell ref="I40:J40"/>
    <mergeCell ref="E41:F41"/>
    <mergeCell ref="G41:H41"/>
    <mergeCell ref="G40:H40"/>
    <mergeCell ref="G38:H38"/>
    <mergeCell ref="C109:D109"/>
    <mergeCell ref="E130:F130"/>
    <mergeCell ref="E108:F108"/>
    <mergeCell ref="C121:D121"/>
    <mergeCell ref="A125:J125"/>
    <mergeCell ref="G122:H122"/>
    <mergeCell ref="C122:D122"/>
    <mergeCell ref="C124:D124"/>
    <mergeCell ref="E120:F120"/>
    <mergeCell ref="E122:F122"/>
    <mergeCell ref="I222:J222"/>
    <mergeCell ref="C51:D51"/>
    <mergeCell ref="E46:F46"/>
    <mergeCell ref="I58:J58"/>
    <mergeCell ref="I47:J47"/>
    <mergeCell ref="I39:J39"/>
    <mergeCell ref="E44:F44"/>
    <mergeCell ref="E47:F47"/>
    <mergeCell ref="C42:D42"/>
    <mergeCell ref="C40:D40"/>
    <mergeCell ref="I229:J229"/>
    <mergeCell ref="G42:H42"/>
    <mergeCell ref="G89:H89"/>
    <mergeCell ref="I251:J251"/>
    <mergeCell ref="G191:H191"/>
    <mergeCell ref="G190:H190"/>
    <mergeCell ref="G187:H187"/>
    <mergeCell ref="G188:H188"/>
    <mergeCell ref="I208:J208"/>
    <mergeCell ref="I234:J234"/>
    <mergeCell ref="I210:J210"/>
    <mergeCell ref="I195:J195"/>
    <mergeCell ref="C93:D93"/>
    <mergeCell ref="C89:D89"/>
    <mergeCell ref="E177:F177"/>
    <mergeCell ref="G209:H209"/>
    <mergeCell ref="C130:D130"/>
    <mergeCell ref="C107:D107"/>
    <mergeCell ref="E124:F124"/>
    <mergeCell ref="E140:F140"/>
    <mergeCell ref="C210:D210"/>
    <mergeCell ref="E214:F214"/>
    <mergeCell ref="C246:D246"/>
    <mergeCell ref="C213:D213"/>
    <mergeCell ref="E248:F248"/>
    <mergeCell ref="E228:F228"/>
    <mergeCell ref="E210:F210"/>
    <mergeCell ref="E241:F241"/>
    <mergeCell ref="E244:F244"/>
    <mergeCell ref="C245:D245"/>
    <mergeCell ref="G249:H249"/>
    <mergeCell ref="G251:H251"/>
    <mergeCell ref="E260:F260"/>
    <mergeCell ref="C267:D267"/>
    <mergeCell ref="G266:H266"/>
    <mergeCell ref="G267:H267"/>
    <mergeCell ref="G262:H262"/>
    <mergeCell ref="E267:F267"/>
    <mergeCell ref="C265:D265"/>
    <mergeCell ref="E251:F251"/>
    <mergeCell ref="C266:D266"/>
    <mergeCell ref="C275:D275"/>
    <mergeCell ref="G279:H279"/>
    <mergeCell ref="E289:F289"/>
    <mergeCell ref="E278:F278"/>
    <mergeCell ref="G277:H277"/>
    <mergeCell ref="C284:D284"/>
    <mergeCell ref="E277:F277"/>
    <mergeCell ref="G287:H287"/>
    <mergeCell ref="C286:D286"/>
    <mergeCell ref="E322:F322"/>
    <mergeCell ref="E330:F330"/>
    <mergeCell ref="E327:F327"/>
    <mergeCell ref="E335:F335"/>
    <mergeCell ref="E328:F328"/>
    <mergeCell ref="C285:D285"/>
    <mergeCell ref="E296:F296"/>
    <mergeCell ref="C289:D289"/>
    <mergeCell ref="C323:D323"/>
    <mergeCell ref="C301:D301"/>
    <mergeCell ref="E468:F468"/>
    <mergeCell ref="E442:F442"/>
    <mergeCell ref="G335:H335"/>
    <mergeCell ref="G468:H468"/>
    <mergeCell ref="E383:F383"/>
    <mergeCell ref="E364:F364"/>
    <mergeCell ref="E418:F418"/>
    <mergeCell ref="E441:F441"/>
    <mergeCell ref="E338:F338"/>
    <mergeCell ref="E339:F339"/>
    <mergeCell ref="E231:F231"/>
    <mergeCell ref="G231:H231"/>
    <mergeCell ref="G328:H328"/>
    <mergeCell ref="G285:H285"/>
    <mergeCell ref="G275:H275"/>
    <mergeCell ref="G263:H263"/>
    <mergeCell ref="E268:F268"/>
    <mergeCell ref="G325:H325"/>
    <mergeCell ref="E323:F323"/>
    <mergeCell ref="E309:F309"/>
    <mergeCell ref="G622:H622"/>
    <mergeCell ref="G228:H228"/>
    <mergeCell ref="I228:J228"/>
    <mergeCell ref="C229:D229"/>
    <mergeCell ref="E229:F229"/>
    <mergeCell ref="E412:F412"/>
    <mergeCell ref="G326:H326"/>
    <mergeCell ref="E351:F351"/>
    <mergeCell ref="E385:F385"/>
    <mergeCell ref="E336:F336"/>
    <mergeCell ref="E607:F607"/>
    <mergeCell ref="E621:F621"/>
    <mergeCell ref="E559:F559"/>
    <mergeCell ref="G578:H578"/>
    <mergeCell ref="G609:H609"/>
    <mergeCell ref="G586:H586"/>
    <mergeCell ref="G569:H569"/>
    <mergeCell ref="E578:F578"/>
    <mergeCell ref="A591:J591"/>
    <mergeCell ref="G583:H583"/>
    <mergeCell ref="C583:D583"/>
    <mergeCell ref="E583:F583"/>
    <mergeCell ref="A593:A594"/>
    <mergeCell ref="E605:F605"/>
    <mergeCell ref="G225:H225"/>
    <mergeCell ref="I225:J225"/>
    <mergeCell ref="G226:H226"/>
    <mergeCell ref="I226:J226"/>
    <mergeCell ref="G234:H234"/>
    <mergeCell ref="I569:J569"/>
    <mergeCell ref="C639:D639"/>
    <mergeCell ref="C626:D626"/>
    <mergeCell ref="I651:J651"/>
    <mergeCell ref="G649:H649"/>
    <mergeCell ref="I649:J649"/>
    <mergeCell ref="G651:H651"/>
    <mergeCell ref="E629:F629"/>
    <mergeCell ref="E640:F640"/>
    <mergeCell ref="G640:H640"/>
    <mergeCell ref="E626:F626"/>
    <mergeCell ref="E630:F630"/>
    <mergeCell ref="E631:F631"/>
    <mergeCell ref="C646:D646"/>
    <mergeCell ref="G632:H632"/>
    <mergeCell ref="E638:F638"/>
    <mergeCell ref="G646:H646"/>
    <mergeCell ref="C636:D636"/>
    <mergeCell ref="C633:D633"/>
    <mergeCell ref="E639:F639"/>
    <mergeCell ref="C632:D632"/>
    <mergeCell ref="G800:H800"/>
    <mergeCell ref="E809:F809"/>
    <mergeCell ref="G798:H798"/>
    <mergeCell ref="C799:D799"/>
    <mergeCell ref="C755:D755"/>
    <mergeCell ref="C758:D758"/>
    <mergeCell ref="E763:F763"/>
    <mergeCell ref="G756:H756"/>
    <mergeCell ref="G788:H788"/>
    <mergeCell ref="G799:H799"/>
    <mergeCell ref="E713:F713"/>
    <mergeCell ref="I720:J720"/>
    <mergeCell ref="I715:J715"/>
    <mergeCell ref="I719:J719"/>
    <mergeCell ref="E827:F827"/>
    <mergeCell ref="G813:H813"/>
    <mergeCell ref="E813:F813"/>
    <mergeCell ref="G815:H815"/>
    <mergeCell ref="E823:F823"/>
    <mergeCell ref="I727:J727"/>
    <mergeCell ref="A842:J842"/>
    <mergeCell ref="E891:F891"/>
    <mergeCell ref="C828:D828"/>
    <mergeCell ref="I846:J846"/>
    <mergeCell ref="C865:D865"/>
    <mergeCell ref="I824:J824"/>
    <mergeCell ref="G846:H846"/>
    <mergeCell ref="I848:J848"/>
    <mergeCell ref="C858:D858"/>
    <mergeCell ref="G847:H847"/>
    <mergeCell ref="E857:F857"/>
    <mergeCell ref="C874:D874"/>
    <mergeCell ref="C851:D851"/>
    <mergeCell ref="E873:F873"/>
    <mergeCell ref="C860:D860"/>
    <mergeCell ref="E914:F914"/>
    <mergeCell ref="C876:D876"/>
    <mergeCell ref="A910:H910"/>
    <mergeCell ref="C859:D859"/>
    <mergeCell ref="C863:D863"/>
    <mergeCell ref="E938:F938"/>
    <mergeCell ref="A986:J986"/>
    <mergeCell ref="G1003:H1003"/>
    <mergeCell ref="I1001:J1001"/>
    <mergeCell ref="I992:J992"/>
    <mergeCell ref="E939:F939"/>
    <mergeCell ref="E941:F941"/>
    <mergeCell ref="C952:D952"/>
    <mergeCell ref="E990:F990"/>
    <mergeCell ref="E962:F962"/>
    <mergeCell ref="C937:D937"/>
    <mergeCell ref="E937:F937"/>
    <mergeCell ref="A1088:J1088"/>
    <mergeCell ref="C1038:D1038"/>
    <mergeCell ref="C1015:D1015"/>
    <mergeCell ref="C1125:D1125"/>
    <mergeCell ref="C1122:D1122"/>
    <mergeCell ref="E1112:F1112"/>
    <mergeCell ref="G939:H939"/>
    <mergeCell ref="G1009:H1009"/>
    <mergeCell ref="E1123:F1123"/>
    <mergeCell ref="E1114:F1114"/>
    <mergeCell ref="G949:H949"/>
    <mergeCell ref="I1009:J1009"/>
    <mergeCell ref="G1048:H1048"/>
    <mergeCell ref="C955:D955"/>
    <mergeCell ref="E964:F964"/>
    <mergeCell ref="C950:D950"/>
    <mergeCell ref="C1017:D1017"/>
    <mergeCell ref="C1018:D1018"/>
    <mergeCell ref="I989:J989"/>
    <mergeCell ref="C995:D995"/>
    <mergeCell ref="G990:H990"/>
    <mergeCell ref="I952:J952"/>
    <mergeCell ref="C953:D953"/>
    <mergeCell ref="C951:D951"/>
    <mergeCell ref="E952:F952"/>
    <mergeCell ref="E953:F953"/>
    <mergeCell ref="C954:D954"/>
    <mergeCell ref="I954:J954"/>
    <mergeCell ref="A1119:H1119"/>
    <mergeCell ref="C1116:D1116"/>
    <mergeCell ref="G1114:H1114"/>
    <mergeCell ref="C1115:D1115"/>
    <mergeCell ref="G1115:H1115"/>
    <mergeCell ref="C1121:D1121"/>
    <mergeCell ref="E1116:F1116"/>
    <mergeCell ref="C1114:D1114"/>
    <mergeCell ref="C1101:D1101"/>
    <mergeCell ref="G1100:H1100"/>
    <mergeCell ref="C1102:D1102"/>
    <mergeCell ref="C1108:D1108"/>
    <mergeCell ref="G1108:H1108"/>
    <mergeCell ref="G1102:H1102"/>
    <mergeCell ref="E1108:F1108"/>
    <mergeCell ref="C1093:D1093"/>
    <mergeCell ref="G1101:H1101"/>
    <mergeCell ref="E1100:F1100"/>
    <mergeCell ref="G1016:H1016"/>
    <mergeCell ref="G1015:H1015"/>
    <mergeCell ref="C1037:D1037"/>
    <mergeCell ref="G1076:H1076"/>
    <mergeCell ref="C1075:D1075"/>
    <mergeCell ref="C1077:D1077"/>
    <mergeCell ref="E1077:F1077"/>
    <mergeCell ref="C1072:D1072"/>
    <mergeCell ref="G1075:H1075"/>
    <mergeCell ref="E1074:F1074"/>
    <mergeCell ref="I799:J799"/>
    <mergeCell ref="C809:D809"/>
    <mergeCell ref="G808:H808"/>
    <mergeCell ref="C808:D808"/>
    <mergeCell ref="G806:H806"/>
    <mergeCell ref="G959:H959"/>
    <mergeCell ref="E959:F959"/>
    <mergeCell ref="E825:F825"/>
    <mergeCell ref="G804:H804"/>
    <mergeCell ref="E804:F804"/>
    <mergeCell ref="E808:F808"/>
    <mergeCell ref="C807:D807"/>
    <mergeCell ref="C806:D806"/>
    <mergeCell ref="G817:H817"/>
    <mergeCell ref="E815:F815"/>
    <mergeCell ref="E816:F816"/>
    <mergeCell ref="G818:H818"/>
    <mergeCell ref="I820:J820"/>
    <mergeCell ref="I807:J807"/>
    <mergeCell ref="C813:D813"/>
    <mergeCell ref="E818:F818"/>
    <mergeCell ref="I813:J813"/>
    <mergeCell ref="I817:J817"/>
    <mergeCell ref="I814:J814"/>
    <mergeCell ref="I818:J818"/>
    <mergeCell ref="G809:H809"/>
    <mergeCell ref="C819:D819"/>
    <mergeCell ref="E862:F862"/>
    <mergeCell ref="G814:H814"/>
    <mergeCell ref="I819:J819"/>
    <mergeCell ref="I859:J859"/>
    <mergeCell ref="G829:H829"/>
    <mergeCell ref="G849:H849"/>
    <mergeCell ref="E837:F837"/>
    <mergeCell ref="G841:H841"/>
    <mergeCell ref="G859:H859"/>
    <mergeCell ref="G862:H862"/>
    <mergeCell ref="E770:F770"/>
    <mergeCell ref="A778:H778"/>
    <mergeCell ref="G764:H764"/>
    <mergeCell ref="G768:H768"/>
    <mergeCell ref="I768:J768"/>
    <mergeCell ref="G767:H767"/>
    <mergeCell ref="E764:F764"/>
    <mergeCell ref="C768:D768"/>
    <mergeCell ref="C764:D764"/>
    <mergeCell ref="G770:H770"/>
    <mergeCell ref="C731:D731"/>
    <mergeCell ref="C729:D729"/>
    <mergeCell ref="C732:D732"/>
    <mergeCell ref="G722:H722"/>
    <mergeCell ref="G729:H729"/>
    <mergeCell ref="I764:J764"/>
    <mergeCell ref="C727:D727"/>
    <mergeCell ref="E762:F762"/>
    <mergeCell ref="C760:D760"/>
    <mergeCell ref="E729:F729"/>
    <mergeCell ref="I769:J769"/>
    <mergeCell ref="I716:J716"/>
    <mergeCell ref="G769:H769"/>
    <mergeCell ref="G765:H765"/>
    <mergeCell ref="A724:H724"/>
    <mergeCell ref="G732:H732"/>
    <mergeCell ref="G727:H727"/>
    <mergeCell ref="G728:H728"/>
    <mergeCell ref="G721:H721"/>
    <mergeCell ref="I728:J728"/>
    <mergeCell ref="I730:J730"/>
    <mergeCell ref="I732:J732"/>
    <mergeCell ref="I734:J734"/>
    <mergeCell ref="I757:J757"/>
    <mergeCell ref="I722:J722"/>
    <mergeCell ref="G713:H713"/>
    <mergeCell ref="G714:H714"/>
    <mergeCell ref="G742:H742"/>
    <mergeCell ref="C716:D716"/>
    <mergeCell ref="A753:J753"/>
    <mergeCell ref="E717:F717"/>
    <mergeCell ref="E741:F741"/>
    <mergeCell ref="G744:H744"/>
    <mergeCell ref="I755:J755"/>
    <mergeCell ref="G755:H755"/>
    <mergeCell ref="I745:J745"/>
    <mergeCell ref="I729:J729"/>
    <mergeCell ref="I733:J733"/>
    <mergeCell ref="E719:F719"/>
    <mergeCell ref="E720:F720"/>
    <mergeCell ref="G720:H720"/>
    <mergeCell ref="E723:F723"/>
    <mergeCell ref="C721:D721"/>
    <mergeCell ref="I756:J756"/>
    <mergeCell ref="I740:J740"/>
    <mergeCell ref="I738:J738"/>
    <mergeCell ref="E744:F744"/>
    <mergeCell ref="I744:J744"/>
    <mergeCell ref="I718:J718"/>
    <mergeCell ref="C718:D718"/>
    <mergeCell ref="I711:J711"/>
    <mergeCell ref="E718:F718"/>
    <mergeCell ref="I717:J717"/>
    <mergeCell ref="E716:F716"/>
    <mergeCell ref="G718:H718"/>
    <mergeCell ref="I713:J713"/>
    <mergeCell ref="E715:F715"/>
    <mergeCell ref="I714:J714"/>
    <mergeCell ref="E930:F930"/>
    <mergeCell ref="I758:J758"/>
    <mergeCell ref="G759:H759"/>
    <mergeCell ref="G762:H762"/>
    <mergeCell ref="C804:D804"/>
    <mergeCell ref="E769:F769"/>
    <mergeCell ref="G836:H836"/>
    <mergeCell ref="E828:F828"/>
    <mergeCell ref="E789:F789"/>
    <mergeCell ref="I763:J763"/>
    <mergeCell ref="I974:J974"/>
    <mergeCell ref="E982:F982"/>
    <mergeCell ref="G896:H896"/>
    <mergeCell ref="G805:H805"/>
    <mergeCell ref="C763:D763"/>
    <mergeCell ref="I948:J948"/>
    <mergeCell ref="G926:H926"/>
    <mergeCell ref="I930:J930"/>
    <mergeCell ref="G928:H928"/>
    <mergeCell ref="G915:H915"/>
    <mergeCell ref="G948:H948"/>
    <mergeCell ref="G941:H941"/>
    <mergeCell ref="C940:D940"/>
    <mergeCell ref="E940:F940"/>
    <mergeCell ref="A956:J956"/>
    <mergeCell ref="I955:J955"/>
    <mergeCell ref="E948:F948"/>
    <mergeCell ref="C943:D943"/>
    <mergeCell ref="G943:H943"/>
    <mergeCell ref="G954:H954"/>
    <mergeCell ref="E926:F926"/>
    <mergeCell ref="E805:F805"/>
    <mergeCell ref="I788:J788"/>
    <mergeCell ref="E1151:F1151"/>
    <mergeCell ref="I1139:J1139"/>
    <mergeCell ref="I1141:J1141"/>
    <mergeCell ref="I1093:J1093"/>
    <mergeCell ref="E1094:F1094"/>
    <mergeCell ref="I1134:J1134"/>
    <mergeCell ref="E1115:F1115"/>
    <mergeCell ref="I978:J978"/>
    <mergeCell ref="G960:H960"/>
    <mergeCell ref="G1116:H1116"/>
    <mergeCell ref="C1076:D1076"/>
    <mergeCell ref="I1059:J1059"/>
    <mergeCell ref="G1077:H1077"/>
    <mergeCell ref="I1091:J1091"/>
    <mergeCell ref="I975:J975"/>
    <mergeCell ref="E965:F965"/>
    <mergeCell ref="G983:H983"/>
    <mergeCell ref="C1094:D1094"/>
    <mergeCell ref="G1094:H1094"/>
    <mergeCell ref="C1092:D1092"/>
    <mergeCell ref="G1093:H1093"/>
    <mergeCell ref="C1091:D1091"/>
    <mergeCell ref="G955:H955"/>
    <mergeCell ref="C1016:D1016"/>
    <mergeCell ref="C974:D974"/>
    <mergeCell ref="G964:H964"/>
    <mergeCell ref="C1078:D1078"/>
    <mergeCell ref="C1154:D1154"/>
    <mergeCell ref="E1154:F1154"/>
    <mergeCell ref="G1165:H1165"/>
    <mergeCell ref="I1057:J1057"/>
    <mergeCell ref="G1058:H1058"/>
    <mergeCell ref="I1060:J1060"/>
    <mergeCell ref="I1111:J1111"/>
    <mergeCell ref="A1086:H1086"/>
    <mergeCell ref="E1149:F1149"/>
    <mergeCell ref="I1095:J1095"/>
    <mergeCell ref="I721:J721"/>
    <mergeCell ref="G936:H936"/>
    <mergeCell ref="I942:J942"/>
    <mergeCell ref="I943:J943"/>
    <mergeCell ref="I941:J941"/>
    <mergeCell ref="I936:J936"/>
    <mergeCell ref="I939:J939"/>
    <mergeCell ref="G940:H940"/>
    <mergeCell ref="G937:H937"/>
    <mergeCell ref="I723:J723"/>
    <mergeCell ref="E806:F806"/>
    <mergeCell ref="E745:F745"/>
    <mergeCell ref="E722:F722"/>
    <mergeCell ref="E755:F755"/>
    <mergeCell ref="C720:D720"/>
    <mergeCell ref="G758:H758"/>
    <mergeCell ref="E788:F788"/>
    <mergeCell ref="C723:D723"/>
    <mergeCell ref="G746:H746"/>
    <mergeCell ref="G740:H740"/>
    <mergeCell ref="E714:F714"/>
    <mergeCell ref="G712:H712"/>
    <mergeCell ref="G538:H538"/>
    <mergeCell ref="G552:H552"/>
    <mergeCell ref="E560:F560"/>
    <mergeCell ref="A694:H694"/>
    <mergeCell ref="G540:H540"/>
    <mergeCell ref="C711:D711"/>
    <mergeCell ref="E539:F539"/>
    <mergeCell ref="C701:D701"/>
    <mergeCell ref="G521:H521"/>
    <mergeCell ref="E444:F444"/>
    <mergeCell ref="C518:D518"/>
    <mergeCell ref="E517:F517"/>
    <mergeCell ref="E516:F516"/>
    <mergeCell ref="E529:F529"/>
    <mergeCell ref="C467:D467"/>
    <mergeCell ref="E470:F470"/>
    <mergeCell ref="E495:F495"/>
    <mergeCell ref="E469:F469"/>
    <mergeCell ref="G445:H445"/>
    <mergeCell ref="E225:F225"/>
    <mergeCell ref="C226:D226"/>
    <mergeCell ref="E226:F226"/>
    <mergeCell ref="C234:D234"/>
    <mergeCell ref="E234:F234"/>
    <mergeCell ref="C368:D368"/>
    <mergeCell ref="E349:F349"/>
    <mergeCell ref="E343:F343"/>
    <mergeCell ref="G289:H289"/>
    <mergeCell ref="C365:D365"/>
    <mergeCell ref="C367:D367"/>
    <mergeCell ref="C338:D338"/>
    <mergeCell ref="C355:D355"/>
    <mergeCell ref="C366:D366"/>
    <mergeCell ref="E356:F356"/>
    <mergeCell ref="C346:D346"/>
    <mergeCell ref="C349:D349"/>
    <mergeCell ref="C343:D343"/>
    <mergeCell ref="E352:F352"/>
    <mergeCell ref="C373:D373"/>
    <mergeCell ref="C369:D369"/>
    <mergeCell ref="E369:F369"/>
    <mergeCell ref="E367:F367"/>
    <mergeCell ref="E375:F375"/>
    <mergeCell ref="E373:F373"/>
    <mergeCell ref="E368:F368"/>
    <mergeCell ref="E372:F372"/>
    <mergeCell ref="C372:D372"/>
    <mergeCell ref="E347:F347"/>
    <mergeCell ref="E359:F359"/>
    <mergeCell ref="E348:F348"/>
    <mergeCell ref="E341:F341"/>
    <mergeCell ref="C341:D341"/>
    <mergeCell ref="E358:F358"/>
    <mergeCell ref="E355:F355"/>
    <mergeCell ref="E357:F357"/>
    <mergeCell ref="C357:D357"/>
    <mergeCell ref="C358:D358"/>
    <mergeCell ref="C364:D364"/>
    <mergeCell ref="E360:F360"/>
    <mergeCell ref="E361:F361"/>
    <mergeCell ref="C360:D360"/>
    <mergeCell ref="C359:D359"/>
    <mergeCell ref="I224:J224"/>
    <mergeCell ref="E320:F320"/>
    <mergeCell ref="E305:F305"/>
    <mergeCell ref="E295:F295"/>
    <mergeCell ref="G299:H299"/>
    <mergeCell ref="G318:H318"/>
    <mergeCell ref="E301:F301"/>
    <mergeCell ref="I258:J258"/>
    <mergeCell ref="G229:H229"/>
    <mergeCell ref="E230:F230"/>
    <mergeCell ref="G340:H340"/>
    <mergeCell ref="C397:D397"/>
    <mergeCell ref="C391:D391"/>
    <mergeCell ref="C389:D389"/>
    <mergeCell ref="C396:D396"/>
    <mergeCell ref="C387:D387"/>
    <mergeCell ref="E381:F382"/>
    <mergeCell ref="C347:D347"/>
    <mergeCell ref="E350:F350"/>
    <mergeCell ref="C361:D361"/>
    <mergeCell ref="E423:F423"/>
    <mergeCell ref="C434:D434"/>
    <mergeCell ref="E438:F438"/>
    <mergeCell ref="C436:D436"/>
    <mergeCell ref="E437:F437"/>
    <mergeCell ref="E413:F413"/>
    <mergeCell ref="E424:F424"/>
    <mergeCell ref="C427:D427"/>
    <mergeCell ref="E430:F430"/>
    <mergeCell ref="E427:F427"/>
    <mergeCell ref="E428:F428"/>
    <mergeCell ref="G222:H222"/>
    <mergeCell ref="C223:D223"/>
    <mergeCell ref="E223:F223"/>
    <mergeCell ref="G223:H223"/>
    <mergeCell ref="C224:D224"/>
    <mergeCell ref="G296:H296"/>
    <mergeCell ref="G300:H300"/>
    <mergeCell ref="E411:F411"/>
    <mergeCell ref="C411:D411"/>
    <mergeCell ref="E493:F493"/>
    <mergeCell ref="E490:F490"/>
    <mergeCell ref="C476:D476"/>
    <mergeCell ref="E467:F467"/>
    <mergeCell ref="C494:D494"/>
    <mergeCell ref="E478:F478"/>
    <mergeCell ref="C469:D469"/>
    <mergeCell ref="C475:D475"/>
    <mergeCell ref="C472:D472"/>
    <mergeCell ref="E486:F486"/>
    <mergeCell ref="C468:D468"/>
    <mergeCell ref="C516:D516"/>
    <mergeCell ref="C477:D477"/>
    <mergeCell ref="C490:D490"/>
    <mergeCell ref="C486:D486"/>
    <mergeCell ref="C497:D497"/>
    <mergeCell ref="C499:D499"/>
    <mergeCell ref="C514:D514"/>
    <mergeCell ref="C495:D495"/>
    <mergeCell ref="C471:D471"/>
    <mergeCell ref="C505:D505"/>
    <mergeCell ref="E307:F307"/>
    <mergeCell ref="I295:J295"/>
    <mergeCell ref="I298:J298"/>
    <mergeCell ref="G295:H295"/>
    <mergeCell ref="E326:F326"/>
    <mergeCell ref="E311:F311"/>
    <mergeCell ref="E325:F325"/>
    <mergeCell ref="G305:H305"/>
    <mergeCell ref="C462:D462"/>
    <mergeCell ref="G308:H308"/>
    <mergeCell ref="G319:H319"/>
    <mergeCell ref="C313:D313"/>
    <mergeCell ref="E306:F306"/>
    <mergeCell ref="E297:F297"/>
    <mergeCell ref="E299:F299"/>
    <mergeCell ref="C309:D309"/>
    <mergeCell ref="G307:H307"/>
    <mergeCell ref="C308:D308"/>
    <mergeCell ref="E310:F310"/>
    <mergeCell ref="E300:F300"/>
    <mergeCell ref="C298:D298"/>
    <mergeCell ref="C305:D305"/>
    <mergeCell ref="C336:D336"/>
    <mergeCell ref="C348:D348"/>
    <mergeCell ref="C340:D340"/>
    <mergeCell ref="C321:D321"/>
    <mergeCell ref="C329:D329"/>
    <mergeCell ref="C310:D310"/>
    <mergeCell ref="C337:D337"/>
    <mergeCell ref="C325:D325"/>
    <mergeCell ref="C324:D324"/>
    <mergeCell ref="C328:D328"/>
    <mergeCell ref="C327:D327"/>
    <mergeCell ref="C356:D356"/>
    <mergeCell ref="C320:D320"/>
    <mergeCell ref="C351:D351"/>
    <mergeCell ref="C352:D352"/>
    <mergeCell ref="G258:H258"/>
    <mergeCell ref="I221:J221"/>
    <mergeCell ref="C222:D222"/>
    <mergeCell ref="E222:F222"/>
    <mergeCell ref="G227:H227"/>
    <mergeCell ref="I227:J227"/>
    <mergeCell ref="A236:J236"/>
    <mergeCell ref="C228:D228"/>
    <mergeCell ref="E243:F243"/>
    <mergeCell ref="I223:J223"/>
    <mergeCell ref="C186:D186"/>
    <mergeCell ref="I207:J207"/>
    <mergeCell ref="C342:D342"/>
    <mergeCell ref="E340:F340"/>
    <mergeCell ref="C339:D339"/>
    <mergeCell ref="C251:D251"/>
    <mergeCell ref="C258:D258"/>
    <mergeCell ref="E211:F211"/>
    <mergeCell ref="C247:D247"/>
    <mergeCell ref="C209:D209"/>
    <mergeCell ref="I176:J176"/>
    <mergeCell ref="I198:J198"/>
    <mergeCell ref="I193:J193"/>
    <mergeCell ref="C174:D174"/>
    <mergeCell ref="C198:D198"/>
    <mergeCell ref="C194:D194"/>
    <mergeCell ref="E194:F194"/>
    <mergeCell ref="E187:F187"/>
    <mergeCell ref="I186:J186"/>
    <mergeCell ref="I194:J194"/>
    <mergeCell ref="I177:J177"/>
    <mergeCell ref="I173:J173"/>
    <mergeCell ref="I169:J169"/>
    <mergeCell ref="I170:J170"/>
    <mergeCell ref="I209:J209"/>
    <mergeCell ref="I192:J192"/>
    <mergeCell ref="I174:J174"/>
    <mergeCell ref="I175:J175"/>
    <mergeCell ref="I196:J196"/>
    <mergeCell ref="I188:J188"/>
    <mergeCell ref="I142:J142"/>
    <mergeCell ref="G140:H140"/>
    <mergeCell ref="I140:J140"/>
    <mergeCell ref="I158:J158"/>
    <mergeCell ref="I157:J157"/>
    <mergeCell ref="I148:J148"/>
    <mergeCell ref="A152:J152"/>
    <mergeCell ref="E151:F151"/>
    <mergeCell ref="C158:D158"/>
    <mergeCell ref="I183:J183"/>
    <mergeCell ref="I185:J185"/>
    <mergeCell ref="I149:J149"/>
    <mergeCell ref="G138:H138"/>
    <mergeCell ref="E150:F150"/>
    <mergeCell ref="G151:H151"/>
    <mergeCell ref="I139:J139"/>
    <mergeCell ref="E149:F149"/>
    <mergeCell ref="G139:H139"/>
    <mergeCell ref="E141:F141"/>
    <mergeCell ref="I167:J167"/>
    <mergeCell ref="C139:D139"/>
    <mergeCell ref="G137:H137"/>
    <mergeCell ref="G167:H167"/>
    <mergeCell ref="G160:H160"/>
    <mergeCell ref="G442:H442"/>
    <mergeCell ref="E165:F165"/>
    <mergeCell ref="E319:F319"/>
    <mergeCell ref="G157:H157"/>
    <mergeCell ref="C242:D242"/>
    <mergeCell ref="C142:D142"/>
    <mergeCell ref="C151:D151"/>
    <mergeCell ref="C149:D149"/>
    <mergeCell ref="G177:H177"/>
    <mergeCell ref="G193:H193"/>
    <mergeCell ref="E157:F157"/>
    <mergeCell ref="C148:D148"/>
    <mergeCell ref="E188:F188"/>
    <mergeCell ref="E186:F186"/>
    <mergeCell ref="E190:F190"/>
    <mergeCell ref="G250:H250"/>
    <mergeCell ref="G265:H265"/>
    <mergeCell ref="A254:J254"/>
    <mergeCell ref="I250:J250"/>
    <mergeCell ref="I187:J187"/>
    <mergeCell ref="E196:F196"/>
    <mergeCell ref="C192:D192"/>
    <mergeCell ref="C196:D196"/>
    <mergeCell ref="C191:D191"/>
    <mergeCell ref="C193:D193"/>
    <mergeCell ref="C1182:D1182"/>
    <mergeCell ref="C1165:D1165"/>
    <mergeCell ref="C517:D517"/>
    <mergeCell ref="C1185:D1185"/>
    <mergeCell ref="G260:H260"/>
    <mergeCell ref="E285:F285"/>
    <mergeCell ref="G306:H306"/>
    <mergeCell ref="E337:F337"/>
    <mergeCell ref="G264:H264"/>
    <mergeCell ref="C350:D350"/>
    <mergeCell ref="A1534:A1535"/>
    <mergeCell ref="G355:H355"/>
    <mergeCell ref="E346:F346"/>
    <mergeCell ref="C990:D990"/>
    <mergeCell ref="E1076:F1076"/>
    <mergeCell ref="E1101:F1101"/>
    <mergeCell ref="A1157:J1157"/>
    <mergeCell ref="C463:D463"/>
    <mergeCell ref="I1100:J1100"/>
    <mergeCell ref="E1059:F1059"/>
    <mergeCell ref="C1397:D1397"/>
    <mergeCell ref="A1405:A1406"/>
    <mergeCell ref="C1405:D1405"/>
    <mergeCell ref="A1413:A1414"/>
    <mergeCell ref="C1413:D1413"/>
    <mergeCell ref="C1515:D1515"/>
    <mergeCell ref="C1456:D1456"/>
    <mergeCell ref="A1453:H1453"/>
    <mergeCell ref="E1433:F1433"/>
    <mergeCell ref="E1432:F1432"/>
    <mergeCell ref="E1405:F1405"/>
    <mergeCell ref="E1413:F1413"/>
    <mergeCell ref="E1421:F1421"/>
    <mergeCell ref="E1522:F1522"/>
    <mergeCell ref="E1456:F1456"/>
    <mergeCell ref="B1552:B1553"/>
    <mergeCell ref="C1534:D1534"/>
    <mergeCell ref="E1571:F1571"/>
    <mergeCell ref="E1552:F1552"/>
    <mergeCell ref="E1573:F1573"/>
    <mergeCell ref="E1570:F1570"/>
    <mergeCell ref="C1560:D1560"/>
    <mergeCell ref="A1366:A1367"/>
    <mergeCell ref="A1421:A1422"/>
    <mergeCell ref="C1522:D1522"/>
    <mergeCell ref="E1560:F1560"/>
    <mergeCell ref="E1397:F1397"/>
    <mergeCell ref="C1471:D1471"/>
    <mergeCell ref="C1503:D1503"/>
    <mergeCell ref="B1503:B1504"/>
    <mergeCell ref="C1578:D1578"/>
    <mergeCell ref="C1572:D1572"/>
    <mergeCell ref="C1552:D1552"/>
    <mergeCell ref="C1570:D1570"/>
    <mergeCell ref="C1577:D1577"/>
    <mergeCell ref="A1381:A1382"/>
    <mergeCell ref="C1421:D1421"/>
    <mergeCell ref="A1431:A1434"/>
    <mergeCell ref="G1421:H1421"/>
    <mergeCell ref="A1503:A1504"/>
    <mergeCell ref="A1471:A1472"/>
    <mergeCell ref="A1499:J1499"/>
    <mergeCell ref="G1456:H1456"/>
    <mergeCell ref="G1503:H1503"/>
    <mergeCell ref="E1503:F1503"/>
    <mergeCell ref="G1290:H1290"/>
    <mergeCell ref="A1256:J1256"/>
    <mergeCell ref="I1319:J1319"/>
    <mergeCell ref="E1290:F1290"/>
    <mergeCell ref="E1259:F1259"/>
    <mergeCell ref="A1373:A1374"/>
    <mergeCell ref="E1348:F1348"/>
    <mergeCell ref="C1358:D1358"/>
    <mergeCell ref="C1373:D1373"/>
    <mergeCell ref="C1269:D1269"/>
    <mergeCell ref="E329:F329"/>
    <mergeCell ref="C326:D326"/>
    <mergeCell ref="E290:F290"/>
    <mergeCell ref="C307:D307"/>
    <mergeCell ref="C311:D311"/>
    <mergeCell ref="C312:D312"/>
    <mergeCell ref="E318:F318"/>
    <mergeCell ref="C295:D295"/>
    <mergeCell ref="C322:D322"/>
    <mergeCell ref="C300:D300"/>
    <mergeCell ref="E324:F324"/>
    <mergeCell ref="I165:J165"/>
    <mergeCell ref="G132:H132"/>
    <mergeCell ref="G148:H148"/>
    <mergeCell ref="G134:H134"/>
    <mergeCell ref="G136:H136"/>
    <mergeCell ref="I138:J138"/>
    <mergeCell ref="I220:J220"/>
    <mergeCell ref="G284:H284"/>
    <mergeCell ref="I137:J137"/>
    <mergeCell ref="I130:J130"/>
    <mergeCell ref="I134:J134"/>
    <mergeCell ref="I124:J124"/>
    <mergeCell ref="I106:J106"/>
    <mergeCell ref="I104:J104"/>
    <mergeCell ref="C318:D318"/>
    <mergeCell ref="G194:H194"/>
    <mergeCell ref="G141:H141"/>
    <mergeCell ref="G248:H248"/>
    <mergeCell ref="I248:J248"/>
    <mergeCell ref="C137:D137"/>
    <mergeCell ref="C120:D120"/>
    <mergeCell ref="C150:D150"/>
    <mergeCell ref="I133:J133"/>
    <mergeCell ref="I103:J103"/>
    <mergeCell ref="I112:J112"/>
    <mergeCell ref="I120:J120"/>
    <mergeCell ref="I122:J122"/>
    <mergeCell ref="I135:J135"/>
    <mergeCell ref="I110:J110"/>
    <mergeCell ref="G243:H243"/>
    <mergeCell ref="G109:H109"/>
    <mergeCell ref="G107:H107"/>
    <mergeCell ref="G158:H158"/>
    <mergeCell ref="E134:F134"/>
    <mergeCell ref="E176:F176"/>
    <mergeCell ref="E135:F135"/>
    <mergeCell ref="E224:F224"/>
    <mergeCell ref="G224:H224"/>
    <mergeCell ref="G230:H230"/>
    <mergeCell ref="K192:L192"/>
    <mergeCell ref="C123:D123"/>
    <mergeCell ref="E123:F123"/>
    <mergeCell ref="G123:H123"/>
    <mergeCell ref="I123:J123"/>
    <mergeCell ref="G103:H103"/>
    <mergeCell ref="G108:H108"/>
    <mergeCell ref="G124:H124"/>
    <mergeCell ref="E119:F119"/>
    <mergeCell ref="E121:F121"/>
    <mergeCell ref="K191:L191"/>
    <mergeCell ref="G102:H102"/>
    <mergeCell ref="G112:H112"/>
    <mergeCell ref="G106:H106"/>
    <mergeCell ref="G121:H121"/>
    <mergeCell ref="G172:H172"/>
    <mergeCell ref="G104:H104"/>
    <mergeCell ref="I108:J108"/>
    <mergeCell ref="I107:J107"/>
    <mergeCell ref="I136:J136"/>
    <mergeCell ref="C101:D101"/>
    <mergeCell ref="G95:H95"/>
    <mergeCell ref="G101:H101"/>
    <mergeCell ref="C94:D94"/>
    <mergeCell ref="C141:D141"/>
    <mergeCell ref="C136:D136"/>
    <mergeCell ref="E136:F136"/>
    <mergeCell ref="G110:H110"/>
    <mergeCell ref="G94:H94"/>
    <mergeCell ref="C95:D95"/>
    <mergeCell ref="G207:H207"/>
    <mergeCell ref="G119:H119"/>
    <mergeCell ref="I150:J150"/>
    <mergeCell ref="A155:F155"/>
    <mergeCell ref="C157:D157"/>
    <mergeCell ref="I119:J119"/>
    <mergeCell ref="G150:H150"/>
    <mergeCell ref="C134:D134"/>
    <mergeCell ref="I121:J121"/>
    <mergeCell ref="G131:H131"/>
    <mergeCell ref="G175:H175"/>
    <mergeCell ref="G174:H174"/>
    <mergeCell ref="G168:H168"/>
    <mergeCell ref="G165:H165"/>
    <mergeCell ref="G169:H169"/>
    <mergeCell ref="G166:H166"/>
    <mergeCell ref="A171:H171"/>
    <mergeCell ref="C170:D170"/>
    <mergeCell ref="C167:D167"/>
    <mergeCell ref="C172:D172"/>
    <mergeCell ref="I290:J290"/>
    <mergeCell ref="I297:J297"/>
    <mergeCell ref="I326:J326"/>
    <mergeCell ref="G259:H259"/>
    <mergeCell ref="G322:H322"/>
    <mergeCell ref="E308:F308"/>
    <mergeCell ref="I309:J309"/>
    <mergeCell ref="G313:H313"/>
    <mergeCell ref="G311:H311"/>
    <mergeCell ref="E312:F312"/>
    <mergeCell ref="I318:J318"/>
    <mergeCell ref="E321:F321"/>
    <mergeCell ref="E313:F313"/>
    <mergeCell ref="C1073:D1073"/>
    <mergeCell ref="E419:F419"/>
    <mergeCell ref="G411:H411"/>
    <mergeCell ref="G436:H436"/>
    <mergeCell ref="G973:H973"/>
    <mergeCell ref="E1070:F1070"/>
    <mergeCell ref="E1004:F1004"/>
    <mergeCell ref="I1033:J1033"/>
    <mergeCell ref="I1073:J1073"/>
    <mergeCell ref="I1074:J1074"/>
    <mergeCell ref="I1075:J1075"/>
    <mergeCell ref="E1050:F1050"/>
    <mergeCell ref="E1093:F1093"/>
    <mergeCell ref="I1092:J1092"/>
    <mergeCell ref="I1070:J1070"/>
    <mergeCell ref="I1061:J1061"/>
    <mergeCell ref="I1053:J1053"/>
    <mergeCell ref="E1015:F1015"/>
    <mergeCell ref="G985:H985"/>
    <mergeCell ref="E985:F985"/>
    <mergeCell ref="G1056:H1056"/>
    <mergeCell ref="G1057:H1057"/>
    <mergeCell ref="G1091:H1091"/>
    <mergeCell ref="E1091:F1091"/>
    <mergeCell ref="E1054:F1054"/>
    <mergeCell ref="G1074:H1074"/>
    <mergeCell ref="G1030:H1030"/>
    <mergeCell ref="G1098:H1098"/>
    <mergeCell ref="I1099:J1099"/>
    <mergeCell ref="I1098:J1098"/>
    <mergeCell ref="I1109:J1109"/>
    <mergeCell ref="I985:J985"/>
    <mergeCell ref="G1063:H1063"/>
    <mergeCell ref="I1064:J1064"/>
    <mergeCell ref="I1041:J1041"/>
    <mergeCell ref="I1094:J1094"/>
    <mergeCell ref="G1099:H1099"/>
    <mergeCell ref="I1106:J1106"/>
    <mergeCell ref="G1111:H1111"/>
    <mergeCell ref="G1112:H1112"/>
    <mergeCell ref="C1109:D1109"/>
    <mergeCell ref="I1112:J1112"/>
    <mergeCell ref="E1126:F1126"/>
    <mergeCell ref="E1124:F1124"/>
    <mergeCell ref="I1110:J1110"/>
    <mergeCell ref="G1109:H1109"/>
    <mergeCell ref="E1121:F1121"/>
    <mergeCell ref="E1111:F1111"/>
    <mergeCell ref="I1113:J1113"/>
    <mergeCell ref="E1122:F1122"/>
    <mergeCell ref="I1115:J1115"/>
    <mergeCell ref="E1110:F1110"/>
    <mergeCell ref="G1136:H1136"/>
    <mergeCell ref="G1123:H1123"/>
    <mergeCell ref="G1122:H1122"/>
    <mergeCell ref="I1130:J1130"/>
    <mergeCell ref="I1131:J1131"/>
    <mergeCell ref="C1124:D1124"/>
    <mergeCell ref="G1125:H1125"/>
    <mergeCell ref="C1131:D1131"/>
    <mergeCell ref="E1130:F1130"/>
    <mergeCell ref="G1131:H1131"/>
    <mergeCell ref="E1132:F1132"/>
    <mergeCell ref="E1131:F1131"/>
    <mergeCell ref="E1129:F1129"/>
    <mergeCell ref="G1126:H1126"/>
    <mergeCell ref="C1126:D1126"/>
    <mergeCell ref="E1144:F1144"/>
    <mergeCell ref="I1136:J1136"/>
    <mergeCell ref="E1136:F1136"/>
    <mergeCell ref="I1132:J1132"/>
    <mergeCell ref="I1140:J1140"/>
    <mergeCell ref="C1136:D1136"/>
    <mergeCell ref="C1132:D1132"/>
    <mergeCell ref="E1133:F1133"/>
    <mergeCell ref="G1143:H1143"/>
    <mergeCell ref="I1144:J1144"/>
    <mergeCell ref="C1143:D1143"/>
    <mergeCell ref="C1142:D1142"/>
    <mergeCell ref="E1134:F1134"/>
    <mergeCell ref="G1132:H1132"/>
    <mergeCell ref="I1133:J1133"/>
    <mergeCell ref="E1143:F1143"/>
    <mergeCell ref="E1142:F1142"/>
    <mergeCell ref="E1141:F1141"/>
    <mergeCell ref="I1142:J1142"/>
    <mergeCell ref="C1135:D1135"/>
    <mergeCell ref="E1147:F1147"/>
    <mergeCell ref="C1140:D1140"/>
    <mergeCell ref="E1145:F1145"/>
    <mergeCell ref="E1140:F1140"/>
    <mergeCell ref="C1174:D1174"/>
    <mergeCell ref="A1160:J1160"/>
    <mergeCell ref="C1152:D1152"/>
    <mergeCell ref="I1153:J1153"/>
    <mergeCell ref="G1149:H1149"/>
    <mergeCell ref="C1153:D1153"/>
    <mergeCell ref="G1573:H1573"/>
    <mergeCell ref="G1576:H1576"/>
    <mergeCell ref="E1182:F1182"/>
    <mergeCell ref="E1193:F1193"/>
    <mergeCell ref="G1192:H1192"/>
    <mergeCell ref="G1183:H1183"/>
    <mergeCell ref="E1187:F1187"/>
    <mergeCell ref="G1572:H1572"/>
    <mergeCell ref="A1247:J1247"/>
    <mergeCell ref="I1329:J1329"/>
    <mergeCell ref="C1175:D1175"/>
    <mergeCell ref="C1187:D1187"/>
    <mergeCell ref="I1182:J1182"/>
    <mergeCell ref="E1153:F1153"/>
    <mergeCell ref="E1329:F1329"/>
    <mergeCell ref="E1195:F1195"/>
    <mergeCell ref="E1205:F1205"/>
    <mergeCell ref="C1194:D1194"/>
    <mergeCell ref="C1223:D1223"/>
    <mergeCell ref="G1223:H1223"/>
    <mergeCell ref="E1194:F1194"/>
    <mergeCell ref="C1282:D1282"/>
    <mergeCell ref="E1192:F1192"/>
    <mergeCell ref="G1188:H1188"/>
    <mergeCell ref="E1191:F1191"/>
    <mergeCell ref="A1203:H1203"/>
    <mergeCell ref="A1205:A1206"/>
    <mergeCell ref="C1195:D1195"/>
    <mergeCell ref="E1250:F1250"/>
    <mergeCell ref="E1269:F1269"/>
    <mergeCell ref="C1193:D1193"/>
    <mergeCell ref="A1282:A1283"/>
    <mergeCell ref="G1471:H1471"/>
    <mergeCell ref="E1515:F1515"/>
    <mergeCell ref="A1429:I1429"/>
    <mergeCell ref="I1348:J1348"/>
    <mergeCell ref="C1366:D1366"/>
    <mergeCell ref="C1348:D1348"/>
    <mergeCell ref="C1381:D1381"/>
    <mergeCell ref="G1373:H1373"/>
    <mergeCell ref="I1522:J1522"/>
    <mergeCell ref="G1348:H1348"/>
    <mergeCell ref="G1308:H1308"/>
    <mergeCell ref="E1308:F1308"/>
    <mergeCell ref="G1381:H1381"/>
    <mergeCell ref="G1522:H1522"/>
    <mergeCell ref="I1471:J1471"/>
    <mergeCell ref="G1515:H1515"/>
    <mergeCell ref="G1358:H1358"/>
    <mergeCell ref="G1329:H1329"/>
    <mergeCell ref="E1188:F1188"/>
    <mergeCell ref="E1183:F1183"/>
    <mergeCell ref="C1188:D1188"/>
    <mergeCell ref="G1187:H1187"/>
    <mergeCell ref="G1191:H1191"/>
    <mergeCell ref="E1185:F1185"/>
    <mergeCell ref="E1186:F1186"/>
    <mergeCell ref="C1183:D1183"/>
    <mergeCell ref="C1191:D1191"/>
    <mergeCell ref="G1186:H1186"/>
    <mergeCell ref="G1150:H1150"/>
    <mergeCell ref="G1175:H1175"/>
    <mergeCell ref="G1174:H1174"/>
    <mergeCell ref="G1152:H1152"/>
    <mergeCell ref="I1174:J1174"/>
    <mergeCell ref="E1184:F1184"/>
    <mergeCell ref="E1179:F1179"/>
    <mergeCell ref="E1174:F1174"/>
    <mergeCell ref="E1165:F1165"/>
    <mergeCell ref="E1072:F1072"/>
    <mergeCell ref="I1175:J1175"/>
    <mergeCell ref="E1176:F1176"/>
    <mergeCell ref="C1151:D1151"/>
    <mergeCell ref="A1163:J1163"/>
    <mergeCell ref="G1194:H1194"/>
    <mergeCell ref="C1186:D1186"/>
    <mergeCell ref="G1185:H1185"/>
    <mergeCell ref="C1184:D1184"/>
    <mergeCell ref="I1151:J1151"/>
    <mergeCell ref="I977:J977"/>
    <mergeCell ref="E973:F973"/>
    <mergeCell ref="E976:F976"/>
    <mergeCell ref="C978:D978"/>
    <mergeCell ref="C992:D992"/>
    <mergeCell ref="E974:F974"/>
    <mergeCell ref="G974:H974"/>
    <mergeCell ref="E978:F978"/>
    <mergeCell ref="C984:D984"/>
    <mergeCell ref="C973:D973"/>
    <mergeCell ref="E984:F984"/>
    <mergeCell ref="G981:H981"/>
    <mergeCell ref="C976:D976"/>
    <mergeCell ref="E980:F980"/>
    <mergeCell ref="G982:H982"/>
    <mergeCell ref="G976:H976"/>
    <mergeCell ref="C983:D983"/>
    <mergeCell ref="G978:H978"/>
    <mergeCell ref="G980:H980"/>
    <mergeCell ref="C975:D975"/>
    <mergeCell ref="G962:H962"/>
    <mergeCell ref="E971:F971"/>
    <mergeCell ref="E972:F972"/>
    <mergeCell ref="G961:H961"/>
    <mergeCell ref="E961:F961"/>
    <mergeCell ref="E963:F963"/>
    <mergeCell ref="E970:F970"/>
    <mergeCell ref="E966:J966"/>
    <mergeCell ref="I964:J964"/>
    <mergeCell ref="I965:J965"/>
    <mergeCell ref="C931:D931"/>
    <mergeCell ref="C936:D936"/>
    <mergeCell ref="E936:F936"/>
    <mergeCell ref="G951:H951"/>
    <mergeCell ref="G938:H938"/>
    <mergeCell ref="G952:H952"/>
    <mergeCell ref="C939:D939"/>
    <mergeCell ref="C938:D938"/>
    <mergeCell ref="C948:D948"/>
    <mergeCell ref="C949:D949"/>
    <mergeCell ref="C929:D929"/>
    <mergeCell ref="C926:D926"/>
    <mergeCell ref="A934:J934"/>
    <mergeCell ref="G917:H917"/>
    <mergeCell ref="C920:D920"/>
    <mergeCell ref="G920:H920"/>
    <mergeCell ref="G927:H927"/>
    <mergeCell ref="E927:F927"/>
    <mergeCell ref="G931:H931"/>
    <mergeCell ref="G930:H930"/>
    <mergeCell ref="E916:F916"/>
    <mergeCell ref="E921:F921"/>
    <mergeCell ref="E917:F917"/>
    <mergeCell ref="E919:F919"/>
    <mergeCell ref="E918:F918"/>
    <mergeCell ref="G916:H916"/>
    <mergeCell ref="G919:H919"/>
    <mergeCell ref="E928:F928"/>
    <mergeCell ref="E929:F929"/>
    <mergeCell ref="E920:F920"/>
    <mergeCell ref="E915:F915"/>
    <mergeCell ref="I914:J914"/>
    <mergeCell ref="C918:D918"/>
    <mergeCell ref="G918:H918"/>
    <mergeCell ref="G921:H921"/>
    <mergeCell ref="C921:D921"/>
    <mergeCell ref="C919:D919"/>
    <mergeCell ref="C916:D916"/>
    <mergeCell ref="I916:J916"/>
    <mergeCell ref="K885:L885"/>
    <mergeCell ref="K886:L886"/>
    <mergeCell ref="K1121:L1121"/>
    <mergeCell ref="K989:L989"/>
    <mergeCell ref="K990:L990"/>
    <mergeCell ref="K991:L991"/>
    <mergeCell ref="K992:L992"/>
    <mergeCell ref="K1077:L1077"/>
    <mergeCell ref="K1053:L1053"/>
    <mergeCell ref="K1055:L1055"/>
    <mergeCell ref="G894:H894"/>
    <mergeCell ref="E859:F859"/>
    <mergeCell ref="G874:H874"/>
    <mergeCell ref="G878:H878"/>
    <mergeCell ref="E876:F876"/>
    <mergeCell ref="G877:H877"/>
    <mergeCell ref="E874:F874"/>
    <mergeCell ref="E877:F877"/>
    <mergeCell ref="E875:F875"/>
    <mergeCell ref="G875:H875"/>
    <mergeCell ref="G424:H424"/>
    <mergeCell ref="I839:J839"/>
    <mergeCell ref="I797:J797"/>
    <mergeCell ref="G704:H704"/>
    <mergeCell ref="I573:J573"/>
    <mergeCell ref="I808:J808"/>
    <mergeCell ref="G719:H719"/>
    <mergeCell ref="G757:H757"/>
    <mergeCell ref="G824:H824"/>
    <mergeCell ref="I761:J761"/>
    <mergeCell ref="K423:L423"/>
    <mergeCell ref="M410:N410"/>
    <mergeCell ref="E410:F410"/>
    <mergeCell ref="E366:F366"/>
    <mergeCell ref="E403:F403"/>
    <mergeCell ref="G444:H444"/>
    <mergeCell ref="E402:F402"/>
    <mergeCell ref="E404:F404"/>
    <mergeCell ref="E378:F378"/>
    <mergeCell ref="E398:F398"/>
    <mergeCell ref="G420:H420"/>
    <mergeCell ref="M396:N396"/>
    <mergeCell ref="M394:N394"/>
    <mergeCell ref="M408:N408"/>
    <mergeCell ref="G422:H422"/>
    <mergeCell ref="K422:L422"/>
    <mergeCell ref="A414:H414"/>
    <mergeCell ref="E408:F408"/>
    <mergeCell ref="C419:D419"/>
    <mergeCell ref="E422:F422"/>
    <mergeCell ref="M411:N411"/>
    <mergeCell ref="M412:N412"/>
    <mergeCell ref="I411:J411"/>
    <mergeCell ref="M409:N409"/>
    <mergeCell ref="M397:N397"/>
    <mergeCell ref="M398:N398"/>
    <mergeCell ref="I403:J403"/>
    <mergeCell ref="I404:J404"/>
    <mergeCell ref="M399:N399"/>
    <mergeCell ref="I861:J861"/>
    <mergeCell ref="I858:J858"/>
    <mergeCell ref="I684:J684"/>
    <mergeCell ref="G741:H741"/>
    <mergeCell ref="G711:H711"/>
    <mergeCell ref="I827:J827"/>
    <mergeCell ref="I840:J840"/>
    <mergeCell ref="I787:J787"/>
    <mergeCell ref="I860:J860"/>
    <mergeCell ref="A780:I780"/>
    <mergeCell ref="I851:J851"/>
    <mergeCell ref="I850:J850"/>
    <mergeCell ref="I816:J816"/>
    <mergeCell ref="I712:J712"/>
    <mergeCell ref="I438:J438"/>
    <mergeCell ref="I705:J705"/>
    <mergeCell ref="I700:J700"/>
    <mergeCell ref="I701:J701"/>
    <mergeCell ref="I760:J760"/>
    <mergeCell ref="I759:J759"/>
    <mergeCell ref="I829:J829"/>
    <mergeCell ref="G825:H825"/>
    <mergeCell ref="I825:J825"/>
    <mergeCell ref="G789:H789"/>
    <mergeCell ref="G816:H816"/>
    <mergeCell ref="G823:H823"/>
    <mergeCell ref="G807:H807"/>
    <mergeCell ref="I789:J789"/>
    <mergeCell ref="I823:J823"/>
    <mergeCell ref="G828:H828"/>
    <mergeCell ref="I837:J837"/>
    <mergeCell ref="I845:J845"/>
    <mergeCell ref="I853:J853"/>
    <mergeCell ref="A855:J855"/>
    <mergeCell ref="G929:H929"/>
    <mergeCell ref="I869:J869"/>
    <mergeCell ref="I866:J866"/>
    <mergeCell ref="C892:D892"/>
    <mergeCell ref="G895:H895"/>
    <mergeCell ref="C895:D895"/>
    <mergeCell ref="I894:J894"/>
    <mergeCell ref="G871:H871"/>
    <mergeCell ref="K1122:L1122"/>
    <mergeCell ref="K993:L993"/>
    <mergeCell ref="K994:L994"/>
    <mergeCell ref="K995:L995"/>
    <mergeCell ref="K996:L996"/>
    <mergeCell ref="I984:J984"/>
    <mergeCell ref="I1004:J1004"/>
    <mergeCell ref="I1030:J1030"/>
    <mergeCell ref="I878:J878"/>
    <mergeCell ref="I876:J876"/>
    <mergeCell ref="G893:H893"/>
    <mergeCell ref="I881:J881"/>
    <mergeCell ref="G882:H882"/>
    <mergeCell ref="G892:H892"/>
    <mergeCell ref="G891:H891"/>
    <mergeCell ref="I886:J886"/>
    <mergeCell ref="I762:J762"/>
    <mergeCell ref="I800:J800"/>
    <mergeCell ref="I875:J875"/>
    <mergeCell ref="G852:H852"/>
    <mergeCell ref="I877:J877"/>
    <mergeCell ref="G861:H861"/>
    <mergeCell ref="G863:H863"/>
    <mergeCell ref="I873:J873"/>
    <mergeCell ref="G853:H853"/>
    <mergeCell ref="G870:H870"/>
    <mergeCell ref="E1057:F1057"/>
    <mergeCell ref="I983:J983"/>
    <mergeCell ref="G1007:H1007"/>
    <mergeCell ref="G1010:H1010"/>
    <mergeCell ref="E1007:F1007"/>
    <mergeCell ref="K1123:L1123"/>
    <mergeCell ref="G1053:H1053"/>
    <mergeCell ref="E1053:F1053"/>
    <mergeCell ref="I1050:J1050"/>
    <mergeCell ref="E1113:F1113"/>
    <mergeCell ref="C1057:D1057"/>
    <mergeCell ref="K1125:L1125"/>
    <mergeCell ref="C1033:D1033"/>
    <mergeCell ref="C1008:D1008"/>
    <mergeCell ref="E1018:F1018"/>
    <mergeCell ref="C1019:D1019"/>
    <mergeCell ref="C1032:D1032"/>
    <mergeCell ref="C1054:D1054"/>
    <mergeCell ref="E1052:F1052"/>
    <mergeCell ref="C1053:D1053"/>
    <mergeCell ref="E1055:F1055"/>
    <mergeCell ref="E1010:F1010"/>
    <mergeCell ref="C1051:D1051"/>
    <mergeCell ref="A1045:H1045"/>
    <mergeCell ref="G1051:H1051"/>
    <mergeCell ref="C1044:D1044"/>
    <mergeCell ref="A1025:H1025"/>
    <mergeCell ref="C1010:D1010"/>
    <mergeCell ref="A1027:J1027"/>
    <mergeCell ref="E1019:F1019"/>
    <mergeCell ref="C1150:D1150"/>
    <mergeCell ref="E1102:F1102"/>
    <mergeCell ref="I1152:J1152"/>
    <mergeCell ref="I1129:J1129"/>
    <mergeCell ref="C1147:D1147"/>
    <mergeCell ref="I1108:J1108"/>
    <mergeCell ref="C1129:D1129"/>
    <mergeCell ref="G1134:H1134"/>
    <mergeCell ref="I1116:J1116"/>
    <mergeCell ref="E1150:F1150"/>
    <mergeCell ref="E1175:F1175"/>
    <mergeCell ref="I1165:J1165"/>
    <mergeCell ref="A1165:A1166"/>
    <mergeCell ref="I1178:J1178"/>
    <mergeCell ref="E1152:F1152"/>
    <mergeCell ref="C1176:D1176"/>
    <mergeCell ref="C1178:D1178"/>
    <mergeCell ref="I1154:J1154"/>
    <mergeCell ref="E1178:F1178"/>
    <mergeCell ref="C1177:D1177"/>
    <mergeCell ref="A1623:H1623"/>
    <mergeCell ref="I1571:J1571"/>
    <mergeCell ref="I1572:J1572"/>
    <mergeCell ref="I1570:J1570"/>
    <mergeCell ref="G1560:H1560"/>
    <mergeCell ref="I1515:J1515"/>
    <mergeCell ref="C1599:D1599"/>
    <mergeCell ref="A1515:A1516"/>
    <mergeCell ref="G1600:H1600"/>
    <mergeCell ref="A1615:B1615"/>
    <mergeCell ref="A1624:J1624"/>
    <mergeCell ref="A1625:J1625"/>
    <mergeCell ref="I1579:J1579"/>
    <mergeCell ref="I1577:J1577"/>
    <mergeCell ref="I1578:J1578"/>
    <mergeCell ref="C1583:D1583"/>
    <mergeCell ref="G1580:H1580"/>
    <mergeCell ref="A1618:C1618"/>
    <mergeCell ref="G1598:H1598"/>
    <mergeCell ref="E1579:F1579"/>
    <mergeCell ref="A1628:J1628"/>
    <mergeCell ref="I1584:J1584"/>
    <mergeCell ref="I1585:J1585"/>
    <mergeCell ref="I1586:J1586"/>
    <mergeCell ref="G1584:H1584"/>
    <mergeCell ref="A1627:J1627"/>
    <mergeCell ref="I1596:J1596"/>
    <mergeCell ref="A1621:H1621"/>
    <mergeCell ref="A1622:H1622"/>
    <mergeCell ref="E1601:F1601"/>
    <mergeCell ref="A1614:B1614"/>
    <mergeCell ref="I1587:J1587"/>
    <mergeCell ref="G1594:H1594"/>
    <mergeCell ref="A1592:J1592"/>
    <mergeCell ref="E1594:F1594"/>
    <mergeCell ref="I1594:J1594"/>
    <mergeCell ref="C1598:D1598"/>
    <mergeCell ref="G1596:H1596"/>
    <mergeCell ref="E1598:F1598"/>
    <mergeCell ref="C1597:D1597"/>
    <mergeCell ref="A1619:I1619"/>
    <mergeCell ref="I1595:J1595"/>
    <mergeCell ref="I1597:J1597"/>
    <mergeCell ref="A1611:H1611"/>
    <mergeCell ref="E1599:F1599"/>
    <mergeCell ref="C1596:D1596"/>
    <mergeCell ref="E1596:F1596"/>
    <mergeCell ref="I1598:J1598"/>
    <mergeCell ref="G1599:H1599"/>
    <mergeCell ref="C1601:D1601"/>
    <mergeCell ref="A1620:C1620"/>
    <mergeCell ref="E1600:F1600"/>
    <mergeCell ref="I1583:J1583"/>
    <mergeCell ref="A1613:B1613"/>
    <mergeCell ref="C1586:D1586"/>
    <mergeCell ref="C1585:D1585"/>
    <mergeCell ref="E1595:F1595"/>
    <mergeCell ref="G1595:H1595"/>
    <mergeCell ref="G1585:H1585"/>
    <mergeCell ref="E1585:F1585"/>
    <mergeCell ref="I1573:J1573"/>
    <mergeCell ref="C1580:D1580"/>
    <mergeCell ref="I1580:J1580"/>
    <mergeCell ref="E1577:F1577"/>
    <mergeCell ref="A1574:H1574"/>
    <mergeCell ref="E1576:F1576"/>
    <mergeCell ref="E1580:F1580"/>
    <mergeCell ref="E1578:F1578"/>
    <mergeCell ref="G1579:H1579"/>
    <mergeCell ref="G1578:H1578"/>
    <mergeCell ref="C1595:D1595"/>
    <mergeCell ref="C1579:D1579"/>
    <mergeCell ref="E1597:F1597"/>
    <mergeCell ref="C1594:D1594"/>
    <mergeCell ref="A1590:I1590"/>
    <mergeCell ref="E1587:F1587"/>
    <mergeCell ref="G1586:H1586"/>
    <mergeCell ref="E1586:F1586"/>
    <mergeCell ref="C1587:D1587"/>
    <mergeCell ref="E1584:F1584"/>
    <mergeCell ref="C1584:D1584"/>
    <mergeCell ref="G1587:H1587"/>
    <mergeCell ref="C1576:D1576"/>
    <mergeCell ref="G1534:H1534"/>
    <mergeCell ref="C1573:D1573"/>
    <mergeCell ref="C1571:D1571"/>
    <mergeCell ref="G1583:H1583"/>
    <mergeCell ref="E1583:F1583"/>
    <mergeCell ref="G1571:H1571"/>
    <mergeCell ref="G1577:H1577"/>
    <mergeCell ref="E1237:F1237"/>
    <mergeCell ref="G1250:H1250"/>
    <mergeCell ref="A1299:A1300"/>
    <mergeCell ref="A1552:A1553"/>
    <mergeCell ref="C1308:D1308"/>
    <mergeCell ref="E1319:F1319"/>
    <mergeCell ref="E1366:F1366"/>
    <mergeCell ref="G1366:H1366"/>
    <mergeCell ref="G1552:H1552"/>
    <mergeCell ref="A1308:A1309"/>
    <mergeCell ref="G1299:H1299"/>
    <mergeCell ref="G1319:H1319"/>
    <mergeCell ref="E1572:F1572"/>
    <mergeCell ref="B1534:B1535"/>
    <mergeCell ref="A1560:A1561"/>
    <mergeCell ref="E1534:F1534"/>
    <mergeCell ref="G1570:H1570"/>
    <mergeCell ref="E1381:F1381"/>
    <mergeCell ref="E1471:F1471"/>
    <mergeCell ref="B1471:B1472"/>
    <mergeCell ref="G1184:H1184"/>
    <mergeCell ref="I1183:J1183"/>
    <mergeCell ref="A1522:A1523"/>
    <mergeCell ref="I1223:J1223"/>
    <mergeCell ref="C1205:D1205"/>
    <mergeCell ref="G1249:H1249"/>
    <mergeCell ref="C1299:D1299"/>
    <mergeCell ref="E1282:F1282"/>
    <mergeCell ref="C1319:D1319"/>
    <mergeCell ref="E1299:F1299"/>
    <mergeCell ref="G1259:H1259"/>
    <mergeCell ref="C1259:D1259"/>
    <mergeCell ref="A1235:J1235"/>
    <mergeCell ref="A1223:A1224"/>
    <mergeCell ref="A1221:J1221"/>
    <mergeCell ref="I1185:J1185"/>
    <mergeCell ref="E1223:F1223"/>
    <mergeCell ref="A1200:H1200"/>
    <mergeCell ref="C1237:D1237"/>
    <mergeCell ref="I1237:J1237"/>
    <mergeCell ref="G1176:H1176"/>
    <mergeCell ref="G1177:H1177"/>
    <mergeCell ref="I1150:J1150"/>
    <mergeCell ref="A1158:J1158"/>
    <mergeCell ref="G1179:H1179"/>
    <mergeCell ref="G1182:H1182"/>
    <mergeCell ref="G1178:H1178"/>
    <mergeCell ref="I1179:J1179"/>
    <mergeCell ref="C1179:D1179"/>
    <mergeCell ref="A1159:J1159"/>
    <mergeCell ref="C991:D991"/>
    <mergeCell ref="C1149:D1149"/>
    <mergeCell ref="I1102:J1102"/>
    <mergeCell ref="A1103:J1103"/>
    <mergeCell ref="C1113:D1113"/>
    <mergeCell ref="C1110:D1110"/>
    <mergeCell ref="C1134:D1134"/>
    <mergeCell ref="I1149:J1149"/>
    <mergeCell ref="C1070:D1070"/>
    <mergeCell ref="C1071:D1071"/>
    <mergeCell ref="C1050:D1050"/>
    <mergeCell ref="E1044:F1044"/>
    <mergeCell ref="E1048:F1048"/>
    <mergeCell ref="G1044:H1044"/>
    <mergeCell ref="C1001:D1001"/>
    <mergeCell ref="C1011:D1011"/>
    <mergeCell ref="G1008:H1008"/>
    <mergeCell ref="C1012:D1012"/>
    <mergeCell ref="C1007:D1007"/>
    <mergeCell ref="C1004:D1004"/>
    <mergeCell ref="C999:D999"/>
    <mergeCell ref="C1002:D1002"/>
    <mergeCell ref="C1049:D1049"/>
    <mergeCell ref="I976:J976"/>
    <mergeCell ref="I971:J971"/>
    <mergeCell ref="G972:H972"/>
    <mergeCell ref="I981:J981"/>
    <mergeCell ref="I980:J980"/>
    <mergeCell ref="I982:J982"/>
    <mergeCell ref="G977:H977"/>
    <mergeCell ref="I891:J891"/>
    <mergeCell ref="E893:F893"/>
    <mergeCell ref="I836:J836"/>
    <mergeCell ref="I970:J970"/>
    <mergeCell ref="I862:J862"/>
    <mergeCell ref="I870:J870"/>
    <mergeCell ref="G872:H872"/>
    <mergeCell ref="G873:H873"/>
    <mergeCell ref="G876:H876"/>
    <mergeCell ref="I895:J895"/>
    <mergeCell ref="A932:J932"/>
    <mergeCell ref="C917:D917"/>
    <mergeCell ref="A905:H905"/>
    <mergeCell ref="C915:D915"/>
    <mergeCell ref="E943:F943"/>
    <mergeCell ref="A907:H907"/>
    <mergeCell ref="C927:D927"/>
    <mergeCell ref="A922:J922"/>
    <mergeCell ref="C930:D930"/>
    <mergeCell ref="I920:J920"/>
    <mergeCell ref="C824:D824"/>
    <mergeCell ref="C839:D839"/>
    <mergeCell ref="C820:D820"/>
    <mergeCell ref="E892:F892"/>
    <mergeCell ref="I838:J838"/>
    <mergeCell ref="I892:J892"/>
    <mergeCell ref="I872:J872"/>
    <mergeCell ref="I874:J874"/>
    <mergeCell ref="E820:F820"/>
    <mergeCell ref="I871:J871"/>
    <mergeCell ref="C841:D841"/>
    <mergeCell ref="E838:F838"/>
    <mergeCell ref="G838:H838"/>
    <mergeCell ref="G834:H834"/>
    <mergeCell ref="C827:D827"/>
    <mergeCell ref="G820:H820"/>
    <mergeCell ref="E824:F824"/>
    <mergeCell ref="E839:F839"/>
    <mergeCell ref="G839:H839"/>
    <mergeCell ref="G837:H837"/>
    <mergeCell ref="A781:H781"/>
    <mergeCell ref="E798:F798"/>
    <mergeCell ref="E799:F799"/>
    <mergeCell ref="C800:D800"/>
    <mergeCell ref="E800:F800"/>
    <mergeCell ref="C837:D837"/>
    <mergeCell ref="C792:D792"/>
    <mergeCell ref="E792:F792"/>
    <mergeCell ref="G792:H792"/>
    <mergeCell ref="C835:D835"/>
    <mergeCell ref="G760:H760"/>
    <mergeCell ref="G797:H797"/>
    <mergeCell ref="C702:D702"/>
    <mergeCell ref="G761:H761"/>
    <mergeCell ref="C791:D791"/>
    <mergeCell ref="E791:F791"/>
    <mergeCell ref="G791:H791"/>
    <mergeCell ref="E711:F711"/>
    <mergeCell ref="G787:H787"/>
    <mergeCell ref="G786:H786"/>
    <mergeCell ref="C700:D700"/>
    <mergeCell ref="G700:H700"/>
    <mergeCell ref="G703:H703"/>
    <mergeCell ref="G702:H702"/>
    <mergeCell ref="E706:F706"/>
    <mergeCell ref="C704:D704"/>
    <mergeCell ref="C703:D703"/>
    <mergeCell ref="G701:H701"/>
    <mergeCell ref="E651:F651"/>
    <mergeCell ref="C671:D671"/>
    <mergeCell ref="A677:H677"/>
    <mergeCell ref="M700:N700"/>
    <mergeCell ref="C684:D684"/>
    <mergeCell ref="A684:A685"/>
    <mergeCell ref="A693:I693"/>
    <mergeCell ref="A697:H697"/>
    <mergeCell ref="B684:B685"/>
    <mergeCell ref="E684:F684"/>
    <mergeCell ref="M698:N698"/>
    <mergeCell ref="M697:N697"/>
    <mergeCell ref="A659:H659"/>
    <mergeCell ref="A658:H658"/>
    <mergeCell ref="C652:D652"/>
    <mergeCell ref="I682:J682"/>
    <mergeCell ref="G684:H684"/>
    <mergeCell ref="I679:J679"/>
    <mergeCell ref="C679:D679"/>
    <mergeCell ref="G680:H680"/>
    <mergeCell ref="E528:F528"/>
    <mergeCell ref="C551:D551"/>
    <mergeCell ref="E545:F545"/>
    <mergeCell ref="E552:F552"/>
    <mergeCell ref="E542:F542"/>
    <mergeCell ref="E544:F544"/>
    <mergeCell ref="C534:D534"/>
    <mergeCell ref="C542:D542"/>
    <mergeCell ref="E537:F537"/>
    <mergeCell ref="C536:D536"/>
    <mergeCell ref="C524:D524"/>
    <mergeCell ref="G523:H523"/>
    <mergeCell ref="E530:F530"/>
    <mergeCell ref="E523:F523"/>
    <mergeCell ref="C528:D528"/>
    <mergeCell ref="G522:H522"/>
    <mergeCell ref="E525:F525"/>
    <mergeCell ref="C525:D525"/>
    <mergeCell ref="C530:D530"/>
    <mergeCell ref="E522:F522"/>
    <mergeCell ref="C560:D560"/>
    <mergeCell ref="C529:D529"/>
    <mergeCell ref="C546:D546"/>
    <mergeCell ref="G559:H559"/>
    <mergeCell ref="G558:H558"/>
    <mergeCell ref="I557:J557"/>
    <mergeCell ref="C538:D538"/>
    <mergeCell ref="E549:F549"/>
    <mergeCell ref="C535:D535"/>
    <mergeCell ref="G560:H560"/>
    <mergeCell ref="E494:F494"/>
    <mergeCell ref="G495:H495"/>
    <mergeCell ref="C577:D577"/>
    <mergeCell ref="C564:D564"/>
    <mergeCell ref="C522:D522"/>
    <mergeCell ref="C531:D531"/>
    <mergeCell ref="G546:H546"/>
    <mergeCell ref="E524:F524"/>
    <mergeCell ref="G543:H543"/>
    <mergeCell ref="G528:H528"/>
    <mergeCell ref="C459:D459"/>
    <mergeCell ref="E707:F707"/>
    <mergeCell ref="A691:H691"/>
    <mergeCell ref="C681:D681"/>
    <mergeCell ref="E611:F611"/>
    <mergeCell ref="C680:D680"/>
    <mergeCell ref="E663:F663"/>
    <mergeCell ref="A663:A664"/>
    <mergeCell ref="A690:H690"/>
    <mergeCell ref="G650:H650"/>
    <mergeCell ref="A671:A672"/>
    <mergeCell ref="A670:J670"/>
    <mergeCell ref="C663:D663"/>
    <mergeCell ref="C678:D678"/>
    <mergeCell ref="I678:J678"/>
    <mergeCell ref="I605:J605"/>
    <mergeCell ref="G652:H652"/>
    <mergeCell ref="E649:F649"/>
    <mergeCell ref="I638:J638"/>
    <mergeCell ref="G638:H638"/>
    <mergeCell ref="C682:D682"/>
    <mergeCell ref="G441:H441"/>
    <mergeCell ref="G465:H465"/>
    <mergeCell ref="G464:H464"/>
    <mergeCell ref="G443:H443"/>
    <mergeCell ref="G681:H681"/>
    <mergeCell ref="E459:F459"/>
    <mergeCell ref="C587:D587"/>
    <mergeCell ref="E627:F627"/>
    <mergeCell ref="E633:F633"/>
    <mergeCell ref="E628:F628"/>
    <mergeCell ref="G473:H473"/>
    <mergeCell ref="E582:F582"/>
    <mergeCell ref="A579:J579"/>
    <mergeCell ref="I587:J587"/>
    <mergeCell ref="A588:J588"/>
    <mergeCell ref="E477:F477"/>
    <mergeCell ref="G531:H531"/>
    <mergeCell ref="G477:H477"/>
    <mergeCell ref="G512:H512"/>
    <mergeCell ref="G310:H310"/>
    <mergeCell ref="G434:H434"/>
    <mergeCell ref="G413:H413"/>
    <mergeCell ref="G419:H419"/>
    <mergeCell ref="G423:H423"/>
    <mergeCell ref="G412:H412"/>
    <mergeCell ref="G398:H398"/>
    <mergeCell ref="G383:H383"/>
    <mergeCell ref="G391:H391"/>
    <mergeCell ref="G430:H430"/>
    <mergeCell ref="G352:H352"/>
    <mergeCell ref="G381:H381"/>
    <mergeCell ref="G373:H373"/>
    <mergeCell ref="G375:H375"/>
    <mergeCell ref="G374:H374"/>
    <mergeCell ref="G629:H629"/>
    <mergeCell ref="G536:H536"/>
    <mergeCell ref="G529:H529"/>
    <mergeCell ref="G530:H530"/>
    <mergeCell ref="A565:J565"/>
    <mergeCell ref="C219:D219"/>
    <mergeCell ref="C227:D227"/>
    <mergeCell ref="G351:H351"/>
    <mergeCell ref="E221:F221"/>
    <mergeCell ref="G221:H221"/>
    <mergeCell ref="G390:H390"/>
    <mergeCell ref="G329:H329"/>
    <mergeCell ref="G364:H364"/>
    <mergeCell ref="G341:H341"/>
    <mergeCell ref="G357:H357"/>
    <mergeCell ref="I105:J105"/>
    <mergeCell ref="E148:F148"/>
    <mergeCell ref="E129:F129"/>
    <mergeCell ref="G312:H312"/>
    <mergeCell ref="G361:H361"/>
    <mergeCell ref="E365:F365"/>
    <mergeCell ref="G360:H360"/>
    <mergeCell ref="G346:H346"/>
    <mergeCell ref="G348:H348"/>
    <mergeCell ref="G339:H339"/>
    <mergeCell ref="C131:D131"/>
    <mergeCell ref="C133:D133"/>
    <mergeCell ref="C135:D135"/>
    <mergeCell ref="E133:F133"/>
    <mergeCell ref="E139:F139"/>
    <mergeCell ref="E138:F138"/>
    <mergeCell ref="E132:F132"/>
    <mergeCell ref="E131:F131"/>
    <mergeCell ref="E137:F137"/>
    <mergeCell ref="C138:D138"/>
    <mergeCell ref="E93:F93"/>
    <mergeCell ref="G142:H142"/>
    <mergeCell ref="E104:F104"/>
    <mergeCell ref="G135:H135"/>
    <mergeCell ref="G133:H133"/>
    <mergeCell ref="I131:J131"/>
    <mergeCell ref="I109:J109"/>
    <mergeCell ref="I132:J132"/>
    <mergeCell ref="E109:F109"/>
    <mergeCell ref="E107:F107"/>
    <mergeCell ref="I102:J102"/>
    <mergeCell ref="E101:F101"/>
    <mergeCell ref="E102:F102"/>
    <mergeCell ref="I89:J89"/>
    <mergeCell ref="A92:J92"/>
    <mergeCell ref="G93:H93"/>
    <mergeCell ref="I94:J94"/>
    <mergeCell ref="E94:F94"/>
    <mergeCell ref="I95:J95"/>
    <mergeCell ref="E95:F95"/>
    <mergeCell ref="C47:D47"/>
    <mergeCell ref="C62:D62"/>
    <mergeCell ref="E64:F64"/>
    <mergeCell ref="G63:H63"/>
    <mergeCell ref="C48:D48"/>
    <mergeCell ref="C91:D91"/>
    <mergeCell ref="E87:F87"/>
    <mergeCell ref="C85:D85"/>
    <mergeCell ref="E90:F90"/>
    <mergeCell ref="E88:F88"/>
    <mergeCell ref="E89:F89"/>
    <mergeCell ref="I86:J86"/>
    <mergeCell ref="C90:D90"/>
    <mergeCell ref="C86:D86"/>
    <mergeCell ref="E86:F86"/>
    <mergeCell ref="C87:D87"/>
    <mergeCell ref="G86:H86"/>
    <mergeCell ref="I90:J90"/>
    <mergeCell ref="E91:F91"/>
    <mergeCell ref="C112:D112"/>
    <mergeCell ref="C108:D108"/>
    <mergeCell ref="C102:D102"/>
    <mergeCell ref="E105:F105"/>
    <mergeCell ref="C104:D104"/>
    <mergeCell ref="C103:D103"/>
    <mergeCell ref="E106:F106"/>
    <mergeCell ref="C106:D106"/>
    <mergeCell ref="E103:F103"/>
    <mergeCell ref="G324:H324"/>
    <mergeCell ref="E219:F219"/>
    <mergeCell ref="G327:H327"/>
    <mergeCell ref="G321:H321"/>
    <mergeCell ref="G336:H336"/>
    <mergeCell ref="G347:H347"/>
    <mergeCell ref="G342:H342"/>
    <mergeCell ref="E227:F227"/>
    <mergeCell ref="G323:H323"/>
    <mergeCell ref="G330:H330"/>
    <mergeCell ref="E514:F514"/>
    <mergeCell ref="E512:F512"/>
    <mergeCell ref="G369:H369"/>
    <mergeCell ref="G474:H474"/>
    <mergeCell ref="I515:J515"/>
    <mergeCell ref="G513:H513"/>
    <mergeCell ref="G515:H515"/>
    <mergeCell ref="I478:J478"/>
    <mergeCell ref="G514:H514"/>
    <mergeCell ref="G475:H475"/>
    <mergeCell ref="G478:H478"/>
    <mergeCell ref="G613:H613"/>
    <mergeCell ref="G612:H612"/>
    <mergeCell ref="I564:J564"/>
    <mergeCell ref="I494:J494"/>
    <mergeCell ref="I445:J445"/>
    <mergeCell ref="G472:H472"/>
    <mergeCell ref="G494:H494"/>
    <mergeCell ref="G476:H476"/>
    <mergeCell ref="G518:H518"/>
    <mergeCell ref="G457:H457"/>
    <mergeCell ref="I470:J470"/>
    <mergeCell ref="I443:J443"/>
    <mergeCell ref="I471:J471"/>
    <mergeCell ref="I459:J459"/>
    <mergeCell ref="I398:J398"/>
    <mergeCell ref="I468:J468"/>
    <mergeCell ref="G471:H471"/>
    <mergeCell ref="G438:H438"/>
    <mergeCell ref="G437:H437"/>
    <mergeCell ref="G456:H456"/>
    <mergeCell ref="I475:J475"/>
    <mergeCell ref="I385:J385"/>
    <mergeCell ref="G382:H382"/>
    <mergeCell ref="G384:H384"/>
    <mergeCell ref="I397:J397"/>
    <mergeCell ref="I391:J391"/>
    <mergeCell ref="I399:J399"/>
    <mergeCell ref="I401:J401"/>
    <mergeCell ref="G459:H459"/>
    <mergeCell ref="G367:H367"/>
    <mergeCell ref="G387:H387"/>
    <mergeCell ref="G385:H385"/>
    <mergeCell ref="G372:H372"/>
    <mergeCell ref="G378:H378"/>
    <mergeCell ref="G399:H399"/>
    <mergeCell ref="G368:H368"/>
    <mergeCell ref="G376:H376"/>
    <mergeCell ref="G397:H397"/>
    <mergeCell ref="G403:H403"/>
    <mergeCell ref="C220:D220"/>
    <mergeCell ref="E220:F220"/>
    <mergeCell ref="G220:H220"/>
    <mergeCell ref="I384:J384"/>
    <mergeCell ref="I322:J322"/>
    <mergeCell ref="I313:J313"/>
    <mergeCell ref="G309:H309"/>
    <mergeCell ref="G320:H320"/>
    <mergeCell ref="G337:H337"/>
    <mergeCell ref="C458:D458"/>
    <mergeCell ref="E458:F458"/>
    <mergeCell ref="G458:H458"/>
    <mergeCell ref="I458:J458"/>
    <mergeCell ref="G343:H343"/>
    <mergeCell ref="I359:J359"/>
    <mergeCell ref="G359:H359"/>
    <mergeCell ref="I377:J377"/>
    <mergeCell ref="C457:D457"/>
    <mergeCell ref="E457:F457"/>
    <mergeCell ref="G350:H350"/>
    <mergeCell ref="I357:J357"/>
    <mergeCell ref="I361:J361"/>
    <mergeCell ref="I367:J367"/>
    <mergeCell ref="G358:H358"/>
    <mergeCell ref="I360:J360"/>
    <mergeCell ref="I351:J351"/>
    <mergeCell ref="I366:J366"/>
    <mergeCell ref="I358:J358"/>
    <mergeCell ref="G365:H365"/>
    <mergeCell ref="E456:F456"/>
    <mergeCell ref="G563:H563"/>
    <mergeCell ref="M355:N355"/>
    <mergeCell ref="M347:N347"/>
    <mergeCell ref="M346:N346"/>
    <mergeCell ref="M351:N351"/>
    <mergeCell ref="I457:J457"/>
    <mergeCell ref="I348:J348"/>
    <mergeCell ref="I346:J346"/>
    <mergeCell ref="I372:J372"/>
    <mergeCell ref="I327:J327"/>
    <mergeCell ref="K323:L323"/>
    <mergeCell ref="M343:N343"/>
    <mergeCell ref="M344:N344"/>
    <mergeCell ref="M356:N356"/>
    <mergeCell ref="M345:N345"/>
    <mergeCell ref="I337:J337"/>
    <mergeCell ref="K328:L328"/>
    <mergeCell ref="I352:J352"/>
    <mergeCell ref="I356:J356"/>
    <mergeCell ref="I310:J310"/>
    <mergeCell ref="K327:L327"/>
    <mergeCell ref="K319:L319"/>
    <mergeCell ref="K320:L320"/>
    <mergeCell ref="K321:L321"/>
    <mergeCell ref="I336:J336"/>
    <mergeCell ref="I319:J319"/>
    <mergeCell ref="I323:J323"/>
    <mergeCell ref="K325:L325"/>
    <mergeCell ref="K326:L326"/>
    <mergeCell ref="G189:H189"/>
    <mergeCell ref="G195:H195"/>
    <mergeCell ref="E198:F198"/>
    <mergeCell ref="G196:H196"/>
    <mergeCell ref="E191:F191"/>
    <mergeCell ref="I249:J249"/>
    <mergeCell ref="G192:H192"/>
    <mergeCell ref="I190:J190"/>
    <mergeCell ref="G198:H198"/>
    <mergeCell ref="I199:J199"/>
    <mergeCell ref="G186:H186"/>
    <mergeCell ref="G185:H185"/>
    <mergeCell ref="A199:H199"/>
    <mergeCell ref="G261:H261"/>
    <mergeCell ref="C218:D218"/>
    <mergeCell ref="E218:F218"/>
    <mergeCell ref="G247:H247"/>
    <mergeCell ref="G241:H241"/>
    <mergeCell ref="E193:F193"/>
    <mergeCell ref="E192:F192"/>
    <mergeCell ref="I244:J244"/>
    <mergeCell ref="I311:J311"/>
    <mergeCell ref="I350:J350"/>
    <mergeCell ref="I329:J329"/>
    <mergeCell ref="I325:J325"/>
    <mergeCell ref="I247:J247"/>
    <mergeCell ref="I246:J246"/>
    <mergeCell ref="I312:J312"/>
    <mergeCell ref="I289:J289"/>
    <mergeCell ref="I330:J330"/>
    <mergeCell ref="K374:L374"/>
    <mergeCell ref="K375:L375"/>
    <mergeCell ref="I390:J390"/>
    <mergeCell ref="I368:J368"/>
    <mergeCell ref="I374:J374"/>
    <mergeCell ref="K368:L368"/>
    <mergeCell ref="K372:L372"/>
    <mergeCell ref="S688:T688"/>
    <mergeCell ref="S691:T691"/>
    <mergeCell ref="Q687:R687"/>
    <mergeCell ref="S687:T687"/>
    <mergeCell ref="Q688:R688"/>
    <mergeCell ref="P668:Q668"/>
    <mergeCell ref="Q691:R691"/>
    <mergeCell ref="S686:T686"/>
    <mergeCell ref="K700:L700"/>
    <mergeCell ref="K701:L701"/>
    <mergeCell ref="I681:J681"/>
    <mergeCell ref="M418:N418"/>
    <mergeCell ref="P665:Q665"/>
    <mergeCell ref="P667:Q667"/>
    <mergeCell ref="P669:Q669"/>
    <mergeCell ref="P666:Q666"/>
    <mergeCell ref="Q686:R686"/>
    <mergeCell ref="I650:J650"/>
    <mergeCell ref="K834:L834"/>
    <mergeCell ref="M702:N702"/>
    <mergeCell ref="M704:N704"/>
    <mergeCell ref="I742:J742"/>
    <mergeCell ref="I637:J637"/>
    <mergeCell ref="M703:N703"/>
    <mergeCell ref="I652:J652"/>
    <mergeCell ref="K744:L744"/>
    <mergeCell ref="I639:J639"/>
    <mergeCell ref="M701:N701"/>
    <mergeCell ref="O1566:P1566"/>
    <mergeCell ref="I1072:J1072"/>
    <mergeCell ref="P1060:Q1060"/>
    <mergeCell ref="P1061:Q1061"/>
    <mergeCell ref="P1062:Q1062"/>
    <mergeCell ref="O1230:P1230"/>
    <mergeCell ref="I1145:J1145"/>
    <mergeCell ref="K1126:L1126"/>
    <mergeCell ref="K1124:L1124"/>
    <mergeCell ref="I1071:J1071"/>
    <mergeCell ref="O1564:P1564"/>
    <mergeCell ref="M1533:N1533"/>
    <mergeCell ref="S1334:Y1371"/>
    <mergeCell ref="R705:S705"/>
    <mergeCell ref="P1070:Q1070"/>
    <mergeCell ref="T1285:Z1314"/>
    <mergeCell ref="W1270:Y1284"/>
    <mergeCell ref="M705:N705"/>
    <mergeCell ref="T1268:U1268"/>
    <mergeCell ref="M1165:N1165"/>
    <mergeCell ref="M1268:N1268"/>
    <mergeCell ref="C1098:D1098"/>
    <mergeCell ref="C1099:D1099"/>
    <mergeCell ref="E1095:F1095"/>
    <mergeCell ref="C1100:D1100"/>
    <mergeCell ref="C1095:D1095"/>
    <mergeCell ref="E1098:F1098"/>
    <mergeCell ref="E1099:F1099"/>
    <mergeCell ref="C1145:D1145"/>
    <mergeCell ref="C1133:D1133"/>
    <mergeCell ref="R1300:S1300"/>
    <mergeCell ref="I953:J953"/>
    <mergeCell ref="G963:H963"/>
    <mergeCell ref="I1039:J1039"/>
    <mergeCell ref="P1069:Q1069"/>
    <mergeCell ref="P1066:Q1066"/>
    <mergeCell ref="G1078:H1078"/>
    <mergeCell ref="A1083:H1083"/>
    <mergeCell ref="I993:J993"/>
    <mergeCell ref="I991:J991"/>
    <mergeCell ref="O1565:P1565"/>
    <mergeCell ref="R1310:S1310"/>
    <mergeCell ref="M706:N706"/>
    <mergeCell ref="O845:P845"/>
    <mergeCell ref="M707:N707"/>
    <mergeCell ref="O1563:P1563"/>
    <mergeCell ref="R706:S706"/>
    <mergeCell ref="R707:S707"/>
    <mergeCell ref="R1268:S1268"/>
    <mergeCell ref="M1269:N1269"/>
    <mergeCell ref="P706:Q706"/>
    <mergeCell ref="P1194:Q1194"/>
    <mergeCell ref="P702:Q702"/>
    <mergeCell ref="P703:Q703"/>
    <mergeCell ref="R703:S703"/>
    <mergeCell ref="R702:S702"/>
    <mergeCell ref="P705:Q705"/>
    <mergeCell ref="P707:Q707"/>
    <mergeCell ref="P697:Q697"/>
    <mergeCell ref="R697:S697"/>
    <mergeCell ref="Q689:R689"/>
    <mergeCell ref="S689:T689"/>
    <mergeCell ref="Q690:R690"/>
    <mergeCell ref="S690:T690"/>
    <mergeCell ref="S692:T692"/>
    <mergeCell ref="S693:T693"/>
    <mergeCell ref="S694:T694"/>
    <mergeCell ref="Q692:R692"/>
    <mergeCell ref="R698:S698"/>
    <mergeCell ref="P704:Q704"/>
    <mergeCell ref="R704:S704"/>
    <mergeCell ref="R699:S699"/>
    <mergeCell ref="P700:Q700"/>
    <mergeCell ref="R700:S700"/>
    <mergeCell ref="P701:Q701"/>
    <mergeCell ref="P698:Q698"/>
    <mergeCell ref="R701:S701"/>
    <mergeCell ref="Q694:R694"/>
    <mergeCell ref="G715:H715"/>
    <mergeCell ref="A692:H692"/>
    <mergeCell ref="G400:H400"/>
    <mergeCell ref="I412:J412"/>
    <mergeCell ref="I421:J421"/>
    <mergeCell ref="I430:J430"/>
    <mergeCell ref="I400:J400"/>
    <mergeCell ref="C456:D456"/>
    <mergeCell ref="P699:Q699"/>
    <mergeCell ref="I408:J408"/>
    <mergeCell ref="I410:J410"/>
    <mergeCell ref="I409:J409"/>
    <mergeCell ref="I413:J413"/>
    <mergeCell ref="I420:J420"/>
    <mergeCell ref="Q693:R693"/>
    <mergeCell ref="I653:J653"/>
    <mergeCell ref="M417:N417"/>
    <mergeCell ref="I422:J422"/>
    <mergeCell ref="M416:N416"/>
    <mergeCell ref="I427:J427"/>
    <mergeCell ref="I435:J435"/>
    <mergeCell ref="I429:J429"/>
    <mergeCell ref="A432:J432"/>
    <mergeCell ref="I402:J402"/>
    <mergeCell ref="G404:H404"/>
    <mergeCell ref="G435:H435"/>
    <mergeCell ref="G409:H409"/>
    <mergeCell ref="G421:H421"/>
    <mergeCell ref="I419:J419"/>
    <mergeCell ref="I521:J521"/>
    <mergeCell ref="I523:J523"/>
    <mergeCell ref="I512:J512"/>
    <mergeCell ref="I441:J441"/>
    <mergeCell ref="I434:J434"/>
    <mergeCell ref="I513:J513"/>
    <mergeCell ref="I451:J451"/>
    <mergeCell ref="I444:J444"/>
    <mergeCell ref="I473:J473"/>
    <mergeCell ref="I514:J514"/>
    <mergeCell ref="I550:J550"/>
    <mergeCell ref="I437:J437"/>
    <mergeCell ref="G466:H466"/>
    <mergeCell ref="I466:J466"/>
    <mergeCell ref="G524:H524"/>
    <mergeCell ref="I525:J525"/>
    <mergeCell ref="G525:H525"/>
    <mergeCell ref="G545:H545"/>
    <mergeCell ref="I524:J524"/>
    <mergeCell ref="I531:J531"/>
    <mergeCell ref="I646:J646"/>
    <mergeCell ref="I558:J558"/>
    <mergeCell ref="I571:J571"/>
    <mergeCell ref="I477:J477"/>
    <mergeCell ref="I539:J539"/>
    <mergeCell ref="I927:J927"/>
    <mergeCell ref="I919:J919"/>
    <mergeCell ref="I896:J896"/>
    <mergeCell ref="I893:J893"/>
    <mergeCell ref="I926:J926"/>
    <mergeCell ref="I915:J915"/>
    <mergeCell ref="G965:H965"/>
    <mergeCell ref="I994:J994"/>
    <mergeCell ref="E994:F994"/>
    <mergeCell ref="I963:J963"/>
    <mergeCell ref="I931:J931"/>
    <mergeCell ref="I929:J929"/>
    <mergeCell ref="I937:J937"/>
    <mergeCell ref="E931:F931"/>
    <mergeCell ref="I940:J940"/>
    <mergeCell ref="C994:D994"/>
    <mergeCell ref="G996:H996"/>
    <mergeCell ref="E996:F996"/>
    <mergeCell ref="G994:H994"/>
    <mergeCell ref="C996:D996"/>
    <mergeCell ref="I921:J921"/>
    <mergeCell ref="I973:J973"/>
    <mergeCell ref="G971:H971"/>
    <mergeCell ref="I972:J972"/>
    <mergeCell ref="E989:F989"/>
    <mergeCell ref="C1144:D1144"/>
    <mergeCell ref="E1125:F1125"/>
    <mergeCell ref="C1123:D1123"/>
    <mergeCell ref="C1141:D1141"/>
    <mergeCell ref="G1141:H1141"/>
    <mergeCell ref="G1140:H1140"/>
    <mergeCell ref="E1139:F1139"/>
    <mergeCell ref="C1139:D1139"/>
    <mergeCell ref="G1144:H1144"/>
    <mergeCell ref="G1139:H1139"/>
    <mergeCell ref="C1600:D1600"/>
    <mergeCell ref="I1601:J1601"/>
    <mergeCell ref="I1599:J1599"/>
    <mergeCell ref="I1600:J1600"/>
    <mergeCell ref="G1597:H1597"/>
    <mergeCell ref="C1148:D1148"/>
    <mergeCell ref="E1148:F1148"/>
    <mergeCell ref="I1187:J1187"/>
    <mergeCell ref="E1177:F1177"/>
    <mergeCell ref="C1192:D1192"/>
    <mergeCell ref="G1601:H1601"/>
    <mergeCell ref="E1109:F1109"/>
    <mergeCell ref="G1070:H1070"/>
    <mergeCell ref="G1092:H1092"/>
    <mergeCell ref="E1073:F1073"/>
    <mergeCell ref="G984:H984"/>
    <mergeCell ref="G1110:H1110"/>
    <mergeCell ref="E1000:F1000"/>
    <mergeCell ref="G1000:H1000"/>
    <mergeCell ref="G1205:H1205"/>
    <mergeCell ref="I959:J959"/>
    <mergeCell ref="G1193:H1193"/>
    <mergeCell ref="G975:H975"/>
    <mergeCell ref="E992:F992"/>
    <mergeCell ref="G992:H992"/>
    <mergeCell ref="I1101:J1101"/>
    <mergeCell ref="I1143:J1143"/>
    <mergeCell ref="I1176:J1176"/>
    <mergeCell ref="I1188:J1188"/>
    <mergeCell ref="G1018:H1018"/>
    <mergeCell ref="C964:D964"/>
    <mergeCell ref="C962:D962"/>
    <mergeCell ref="C963:D963"/>
    <mergeCell ref="G950:H950"/>
    <mergeCell ref="C959:D959"/>
    <mergeCell ref="E950:F950"/>
    <mergeCell ref="E954:F954"/>
    <mergeCell ref="E960:F960"/>
    <mergeCell ref="E951:F951"/>
    <mergeCell ref="C960:D960"/>
    <mergeCell ref="C989:D989"/>
    <mergeCell ref="E991:F991"/>
    <mergeCell ref="C971:D971"/>
    <mergeCell ref="C981:D981"/>
    <mergeCell ref="E983:F983"/>
    <mergeCell ref="C977:D977"/>
    <mergeCell ref="E977:F977"/>
    <mergeCell ref="C982:D982"/>
    <mergeCell ref="C980:D980"/>
    <mergeCell ref="C985:D985"/>
    <mergeCell ref="C961:D961"/>
    <mergeCell ref="E981:F981"/>
    <mergeCell ref="E975:F975"/>
    <mergeCell ref="C1000:D1000"/>
    <mergeCell ref="G1002:H1002"/>
    <mergeCell ref="C1003:D1003"/>
    <mergeCell ref="E1002:F1002"/>
    <mergeCell ref="E1001:F1001"/>
    <mergeCell ref="C993:D993"/>
    <mergeCell ref="G995:H995"/>
    <mergeCell ref="I1148:J1148"/>
    <mergeCell ref="G1012:H1012"/>
    <mergeCell ref="G1040:H1040"/>
    <mergeCell ref="I1147:J1147"/>
    <mergeCell ref="G1142:H1142"/>
    <mergeCell ref="G1130:H1130"/>
    <mergeCell ref="G1147:H1147"/>
    <mergeCell ref="I1078:J1078"/>
    <mergeCell ref="G1148:H1148"/>
    <mergeCell ref="G1095:H1095"/>
    <mergeCell ref="I1114:J1114"/>
    <mergeCell ref="G1071:H1071"/>
    <mergeCell ref="E1008:F1008"/>
    <mergeCell ref="I1002:J1002"/>
    <mergeCell ref="E1012:F1012"/>
    <mergeCell ref="E1011:F1011"/>
    <mergeCell ref="A1084:J1084"/>
    <mergeCell ref="E1009:F1009"/>
    <mergeCell ref="C1009:D1009"/>
    <mergeCell ref="C1056:D1056"/>
    <mergeCell ref="E999:F999"/>
    <mergeCell ref="I999:J999"/>
    <mergeCell ref="G1011:H1011"/>
    <mergeCell ref="G1004:H1004"/>
    <mergeCell ref="E1003:F1003"/>
    <mergeCell ref="I1000:J1000"/>
    <mergeCell ref="E993:F993"/>
    <mergeCell ref="G993:H993"/>
    <mergeCell ref="I1007:J1007"/>
    <mergeCell ref="G1038:H1038"/>
    <mergeCell ref="E995:F995"/>
    <mergeCell ref="I1003:J1003"/>
    <mergeCell ref="I995:J995"/>
    <mergeCell ref="I996:J996"/>
    <mergeCell ref="G1001:H1001"/>
    <mergeCell ref="G999:H999"/>
    <mergeCell ref="A5:L5"/>
    <mergeCell ref="G991:H991"/>
    <mergeCell ref="E158:F158"/>
    <mergeCell ref="I242:J242"/>
    <mergeCell ref="I212:J212"/>
    <mergeCell ref="G970:H970"/>
    <mergeCell ref="I241:J241"/>
    <mergeCell ref="E242:F242"/>
    <mergeCell ref="E213:F213"/>
    <mergeCell ref="G208:H208"/>
    <mergeCell ref="A1:L1"/>
    <mergeCell ref="A7:B7"/>
    <mergeCell ref="A23:H23"/>
    <mergeCell ref="A25:F25"/>
    <mergeCell ref="G47:H47"/>
    <mergeCell ref="E42:F42"/>
    <mergeCell ref="C46:D46"/>
    <mergeCell ref="C44:D44"/>
    <mergeCell ref="E40:F40"/>
    <mergeCell ref="A3:K3"/>
    <mergeCell ref="I243:J243"/>
    <mergeCell ref="G244:H244"/>
    <mergeCell ref="G242:H242"/>
    <mergeCell ref="I211:J211"/>
    <mergeCell ref="I213:J213"/>
    <mergeCell ref="G210:H210"/>
    <mergeCell ref="G212:H212"/>
    <mergeCell ref="G213:H213"/>
    <mergeCell ref="G214:H214"/>
    <mergeCell ref="G211:H211"/>
    <mergeCell ref="I245:J245"/>
    <mergeCell ref="E246:F246"/>
    <mergeCell ref="G245:H245"/>
    <mergeCell ref="I463:J463"/>
    <mergeCell ref="I474:J474"/>
    <mergeCell ref="I436:J436"/>
    <mergeCell ref="I456:J456"/>
    <mergeCell ref="I465:J465"/>
    <mergeCell ref="I472:J472"/>
    <mergeCell ref="G470:H470"/>
    <mergeCell ref="E518:F518"/>
    <mergeCell ref="I522:J522"/>
    <mergeCell ref="I528:J528"/>
    <mergeCell ref="E540:F540"/>
    <mergeCell ref="E538:F538"/>
    <mergeCell ref="E515:F515"/>
    <mergeCell ref="G517:H517"/>
    <mergeCell ref="I535:J535"/>
    <mergeCell ref="I529:J529"/>
    <mergeCell ref="I518:J518"/>
    <mergeCell ref="G663:H663"/>
    <mergeCell ref="G653:H653"/>
    <mergeCell ref="G551:H551"/>
    <mergeCell ref="G633:H633"/>
    <mergeCell ref="I538:J538"/>
    <mergeCell ref="I530:J530"/>
    <mergeCell ref="I559:J559"/>
    <mergeCell ref="G534:H534"/>
    <mergeCell ref="G535:H535"/>
    <mergeCell ref="G554:H554"/>
    <mergeCell ref="E652:F652"/>
    <mergeCell ref="A657:H657"/>
    <mergeCell ref="C653:D653"/>
    <mergeCell ref="C838:D838"/>
    <mergeCell ref="I542:J542"/>
    <mergeCell ref="E534:F534"/>
    <mergeCell ref="E536:F536"/>
    <mergeCell ref="I536:J536"/>
    <mergeCell ref="G537:H537"/>
    <mergeCell ref="I537:J537"/>
    <mergeCell ref="K704:L704"/>
    <mergeCell ref="G716:H716"/>
    <mergeCell ref="E682:F682"/>
    <mergeCell ref="E703:F703"/>
    <mergeCell ref="K703:L703"/>
    <mergeCell ref="I702:J702"/>
    <mergeCell ref="G707:H707"/>
    <mergeCell ref="K705:L705"/>
    <mergeCell ref="K702:L702"/>
    <mergeCell ref="E700:F700"/>
    <mergeCell ref="K767:L767"/>
    <mergeCell ref="K755:L755"/>
    <mergeCell ref="K762:L762"/>
    <mergeCell ref="K763:L763"/>
    <mergeCell ref="K764:L764"/>
    <mergeCell ref="K745:L745"/>
    <mergeCell ref="C834:D834"/>
    <mergeCell ref="K836:L836"/>
    <mergeCell ref="E835:F835"/>
    <mergeCell ref="E701:F701"/>
    <mergeCell ref="K734:L734"/>
    <mergeCell ref="K735:L735"/>
    <mergeCell ref="K733:L733"/>
    <mergeCell ref="K761:L761"/>
    <mergeCell ref="K770:L770"/>
    <mergeCell ref="K740:L740"/>
    <mergeCell ref="E704:F704"/>
    <mergeCell ref="K766:L766"/>
    <mergeCell ref="G516:H516"/>
    <mergeCell ref="I517:J517"/>
    <mergeCell ref="I516:J516"/>
    <mergeCell ref="K756:L756"/>
    <mergeCell ref="K757:L757"/>
    <mergeCell ref="K759:L759"/>
    <mergeCell ref="K732:L732"/>
    <mergeCell ref="K741:L741"/>
    <mergeCell ref="K468:L468"/>
    <mergeCell ref="K469:L469"/>
    <mergeCell ref="K769:L769"/>
    <mergeCell ref="K471:L471"/>
    <mergeCell ref="K758:L758"/>
    <mergeCell ref="K728:L728"/>
    <mergeCell ref="K729:L729"/>
    <mergeCell ref="K730:L730"/>
    <mergeCell ref="K731:L731"/>
    <mergeCell ref="K768:L768"/>
    <mergeCell ref="C455:D455"/>
    <mergeCell ref="E455:F455"/>
    <mergeCell ref="G455:H455"/>
    <mergeCell ref="I455:J455"/>
    <mergeCell ref="I424:J424"/>
    <mergeCell ref="K329:L329"/>
    <mergeCell ref="K356:L356"/>
    <mergeCell ref="K330:L330"/>
    <mergeCell ref="I452:J452"/>
    <mergeCell ref="E342:F342"/>
    <mergeCell ref="K464:L464"/>
    <mergeCell ref="K465:L465"/>
    <mergeCell ref="K463:L463"/>
    <mergeCell ref="K456:L456"/>
    <mergeCell ref="K457:L457"/>
    <mergeCell ref="K458:L458"/>
    <mergeCell ref="K459:L459"/>
    <mergeCell ref="K462:L462"/>
    <mergeCell ref="K1011:L1011"/>
    <mergeCell ref="K1012:L1012"/>
    <mergeCell ref="I1008:J1008"/>
    <mergeCell ref="I1010:J1010"/>
    <mergeCell ref="I1011:J1011"/>
    <mergeCell ref="I1012:J1012"/>
    <mergeCell ref="K1009:L1009"/>
    <mergeCell ref="I913:J913"/>
    <mergeCell ref="E896:F896"/>
    <mergeCell ref="K896:L896"/>
    <mergeCell ref="K961:L961"/>
    <mergeCell ref="I958:J958"/>
    <mergeCell ref="I951:J951"/>
    <mergeCell ref="I938:J938"/>
    <mergeCell ref="I950:J950"/>
    <mergeCell ref="K920:L920"/>
    <mergeCell ref="K921:L921"/>
    <mergeCell ref="K960:L960"/>
    <mergeCell ref="K892:L892"/>
    <mergeCell ref="K1007:L1007"/>
    <mergeCell ref="K1008:L1008"/>
    <mergeCell ref="K1005:L1005"/>
    <mergeCell ref="K1001:L1001"/>
    <mergeCell ref="K1004:L1004"/>
    <mergeCell ref="K1000:L1000"/>
    <mergeCell ref="K727:L727"/>
    <mergeCell ref="I469:J469"/>
    <mergeCell ref="K798:L798"/>
    <mergeCell ref="K799:L799"/>
    <mergeCell ref="K765:L765"/>
    <mergeCell ref="K477:L477"/>
    <mergeCell ref="K706:L706"/>
    <mergeCell ref="K707:L707"/>
    <mergeCell ref="K760:L760"/>
    <mergeCell ref="K739:L739"/>
    <mergeCell ref="K466:L466"/>
    <mergeCell ref="K467:L467"/>
    <mergeCell ref="K455:L455"/>
    <mergeCell ref="I467:J467"/>
    <mergeCell ref="K838:L838"/>
    <mergeCell ref="K839:L839"/>
    <mergeCell ref="K475:L475"/>
    <mergeCell ref="K742:L742"/>
    <mergeCell ref="K743:L743"/>
    <mergeCell ref="K478:L478"/>
    <mergeCell ref="A696:N696"/>
    <mergeCell ref="A656:H656"/>
    <mergeCell ref="M407:N407"/>
    <mergeCell ref="K476:L476"/>
    <mergeCell ref="K474:L474"/>
    <mergeCell ref="K473:L473"/>
    <mergeCell ref="K472:L472"/>
    <mergeCell ref="K470:L470"/>
    <mergeCell ref="I495:J495"/>
    <mergeCell ref="G469:H469"/>
    <mergeCell ref="C790:D790"/>
    <mergeCell ref="E790:F790"/>
    <mergeCell ref="G790:H790"/>
    <mergeCell ref="I790:J790"/>
    <mergeCell ref="C840:D840"/>
    <mergeCell ref="I834:J834"/>
    <mergeCell ref="E840:F840"/>
    <mergeCell ref="G835:H835"/>
    <mergeCell ref="E834:F834"/>
    <mergeCell ref="I835:J835"/>
    <mergeCell ref="I841:J841"/>
    <mergeCell ref="E702:F702"/>
    <mergeCell ref="E678:F678"/>
    <mergeCell ref="G577:H577"/>
    <mergeCell ref="G840:H840"/>
    <mergeCell ref="E653:F653"/>
    <mergeCell ref="E681:F681"/>
    <mergeCell ref="E793:F793"/>
    <mergeCell ref="G793:H793"/>
    <mergeCell ref="I793:J793"/>
    <mergeCell ref="G490:H490"/>
    <mergeCell ref="A491:H491"/>
    <mergeCell ref="C493:D493"/>
    <mergeCell ref="C488:D488"/>
    <mergeCell ref="E488:F488"/>
    <mergeCell ref="G488:H488"/>
    <mergeCell ref="C489:D489"/>
    <mergeCell ref="E489:F489"/>
    <mergeCell ref="G489:H489"/>
    <mergeCell ref="G493:H493"/>
    <mergeCell ref="G486:H486"/>
    <mergeCell ref="C487:D487"/>
    <mergeCell ref="E487:F487"/>
    <mergeCell ref="G487:H487"/>
    <mergeCell ref="C484:D484"/>
    <mergeCell ref="E484:F484"/>
    <mergeCell ref="G484:H484"/>
    <mergeCell ref="C485:D485"/>
    <mergeCell ref="E485:F485"/>
    <mergeCell ref="E481:F481"/>
    <mergeCell ref="G481:H481"/>
    <mergeCell ref="C482:D482"/>
    <mergeCell ref="E482:F482"/>
    <mergeCell ref="G482:H482"/>
    <mergeCell ref="C483:D483"/>
    <mergeCell ref="E483:F483"/>
    <mergeCell ref="G483:H483"/>
    <mergeCell ref="C452:D452"/>
    <mergeCell ref="E452:F452"/>
    <mergeCell ref="G452:H452"/>
    <mergeCell ref="G386:H386"/>
    <mergeCell ref="G356:H356"/>
    <mergeCell ref="G366:H366"/>
    <mergeCell ref="E451:F451"/>
    <mergeCell ref="G451:H451"/>
    <mergeCell ref="G408:H408"/>
    <mergeCell ref="C448:D448"/>
    <mergeCell ref="K448:L448"/>
    <mergeCell ref="K449:L449"/>
    <mergeCell ref="K450:L450"/>
    <mergeCell ref="K451:L451"/>
    <mergeCell ref="K452:L452"/>
    <mergeCell ref="G389:H389"/>
    <mergeCell ref="I389:J389"/>
    <mergeCell ref="I418:J418"/>
    <mergeCell ref="I423:J423"/>
    <mergeCell ref="I428:J428"/>
    <mergeCell ref="K31:L31"/>
    <mergeCell ref="K32:L32"/>
    <mergeCell ref="K33:L33"/>
    <mergeCell ref="K34:L34"/>
    <mergeCell ref="K35:L35"/>
    <mergeCell ref="K36:L36"/>
    <mergeCell ref="I219:J219"/>
    <mergeCell ref="K38:L38"/>
    <mergeCell ref="K39:L39"/>
    <mergeCell ref="K40:L40"/>
    <mergeCell ref="K41:L41"/>
    <mergeCell ref="K42:L42"/>
    <mergeCell ref="K44:L44"/>
    <mergeCell ref="K69:L69"/>
    <mergeCell ref="K70:L70"/>
    <mergeCell ref="K75:L75"/>
    <mergeCell ref="I218:J218"/>
    <mergeCell ref="K66:L66"/>
    <mergeCell ref="K67:L67"/>
    <mergeCell ref="K68:L68"/>
    <mergeCell ref="G388:H388"/>
    <mergeCell ref="I388:J388"/>
    <mergeCell ref="I383:J383"/>
    <mergeCell ref="I340:J340"/>
    <mergeCell ref="G218:H218"/>
    <mergeCell ref="G219:H219"/>
    <mergeCell ref="K65:L65"/>
    <mergeCell ref="K62:L62"/>
    <mergeCell ref="I1205:J1205"/>
    <mergeCell ref="I365:J365"/>
    <mergeCell ref="I387:J387"/>
    <mergeCell ref="I381:J382"/>
    <mergeCell ref="I375:J375"/>
    <mergeCell ref="I386:J386"/>
    <mergeCell ref="K157:L157"/>
    <mergeCell ref="I493:J493"/>
    <mergeCell ref="K45:L45"/>
    <mergeCell ref="K46:L46"/>
    <mergeCell ref="K47:L47"/>
    <mergeCell ref="K51:L51"/>
    <mergeCell ref="K60:L60"/>
    <mergeCell ref="K61:L61"/>
    <mergeCell ref="K48:L48"/>
    <mergeCell ref="K63:L63"/>
    <mergeCell ref="K64:L64"/>
    <mergeCell ref="K159:L159"/>
    <mergeCell ref="K1223:L1223"/>
    <mergeCell ref="M1223:N1223"/>
    <mergeCell ref="K963:L963"/>
    <mergeCell ref="K964:L964"/>
    <mergeCell ref="K965:L965"/>
    <mergeCell ref="K1002:L1002"/>
    <mergeCell ref="K1003:L1003"/>
    <mergeCell ref="K1039:L1039"/>
    <mergeCell ref="K160:L160"/>
    <mergeCell ref="C110:D110"/>
    <mergeCell ref="C111:D111"/>
    <mergeCell ref="E111:F111"/>
    <mergeCell ref="G111:H111"/>
    <mergeCell ref="I111:J111"/>
    <mergeCell ref="K111:L111"/>
    <mergeCell ref="E110:F110"/>
    <mergeCell ref="G130:H130"/>
    <mergeCell ref="K88:L88"/>
    <mergeCell ref="K89:L89"/>
    <mergeCell ref="K90:L90"/>
    <mergeCell ref="K91:L91"/>
    <mergeCell ref="K95:L95"/>
    <mergeCell ref="G90:H90"/>
    <mergeCell ref="I93:J93"/>
    <mergeCell ref="G91:H91"/>
    <mergeCell ref="I91:J91"/>
    <mergeCell ref="K158:L158"/>
    <mergeCell ref="K109:L109"/>
    <mergeCell ref="K112:L112"/>
    <mergeCell ref="K107:L107"/>
    <mergeCell ref="K132:L132"/>
    <mergeCell ref="K141:L141"/>
    <mergeCell ref="K142:L142"/>
    <mergeCell ref="K108:L108"/>
    <mergeCell ref="M85:N85"/>
    <mergeCell ref="M86:N86"/>
    <mergeCell ref="M87:N87"/>
    <mergeCell ref="M88:N88"/>
    <mergeCell ref="M89:N89"/>
    <mergeCell ref="M90:N90"/>
    <mergeCell ref="M91:N91"/>
    <mergeCell ref="K93:L93"/>
    <mergeCell ref="M93:N93"/>
    <mergeCell ref="K94:L94"/>
    <mergeCell ref="M94:N94"/>
    <mergeCell ref="K190:L190"/>
    <mergeCell ref="K122:L122"/>
    <mergeCell ref="K123:L123"/>
    <mergeCell ref="K130:L130"/>
    <mergeCell ref="K131:L131"/>
    <mergeCell ref="M95:N95"/>
    <mergeCell ref="K185:L185"/>
    <mergeCell ref="K186:L186"/>
    <mergeCell ref="K187:L187"/>
    <mergeCell ref="K188:L188"/>
    <mergeCell ref="K189:L189"/>
    <mergeCell ref="K124:L124"/>
    <mergeCell ref="K119:L119"/>
    <mergeCell ref="K120:L120"/>
    <mergeCell ref="K121:L121"/>
    <mergeCell ref="K193:L193"/>
    <mergeCell ref="K133:L133"/>
    <mergeCell ref="K134:L134"/>
    <mergeCell ref="K135:L135"/>
    <mergeCell ref="K136:L136"/>
    <mergeCell ref="K194:L194"/>
    <mergeCell ref="K137:L137"/>
    <mergeCell ref="K138:L138"/>
    <mergeCell ref="K139:L139"/>
    <mergeCell ref="K140:L140"/>
    <mergeCell ref="K195:L195"/>
    <mergeCell ref="K196:L196"/>
    <mergeCell ref="K198:L198"/>
    <mergeCell ref="C197:D197"/>
    <mergeCell ref="E197:F197"/>
    <mergeCell ref="G197:H197"/>
    <mergeCell ref="I197:J197"/>
    <mergeCell ref="K197:L197"/>
    <mergeCell ref="E195:F195"/>
    <mergeCell ref="C195:D195"/>
    <mergeCell ref="C43:D43"/>
    <mergeCell ref="E43:F43"/>
    <mergeCell ref="G43:H43"/>
    <mergeCell ref="I43:J43"/>
    <mergeCell ref="K43:L43"/>
    <mergeCell ref="C37:D37"/>
    <mergeCell ref="E37:F37"/>
    <mergeCell ref="G37:H37"/>
    <mergeCell ref="I37:J37"/>
    <mergeCell ref="K37:L37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71:D71"/>
    <mergeCell ref="E71:F71"/>
    <mergeCell ref="G71:H71"/>
    <mergeCell ref="I71:J71"/>
    <mergeCell ref="K71:L71"/>
    <mergeCell ref="K85:L85"/>
    <mergeCell ref="E75:F75"/>
    <mergeCell ref="G85:H85"/>
    <mergeCell ref="E85:F85"/>
    <mergeCell ref="K814:L814"/>
    <mergeCell ref="K86:L86"/>
    <mergeCell ref="K87:L87"/>
    <mergeCell ref="K72:L72"/>
    <mergeCell ref="C73:D73"/>
    <mergeCell ref="E73:F73"/>
    <mergeCell ref="G73:H73"/>
    <mergeCell ref="I73:J73"/>
    <mergeCell ref="K73:L73"/>
    <mergeCell ref="C72:D72"/>
    <mergeCell ref="C74:D74"/>
    <mergeCell ref="E74:F74"/>
    <mergeCell ref="G74:H74"/>
    <mergeCell ref="I74:J74"/>
    <mergeCell ref="K74:L74"/>
    <mergeCell ref="K129:L129"/>
    <mergeCell ref="K110:L110"/>
    <mergeCell ref="G105:H105"/>
    <mergeCell ref="I99:J99"/>
    <mergeCell ref="I101:J101"/>
    <mergeCell ref="K797:L797"/>
    <mergeCell ref="K919:L919"/>
    <mergeCell ref="K841:L841"/>
    <mergeCell ref="K891:L891"/>
    <mergeCell ref="K840:L840"/>
    <mergeCell ref="K893:L893"/>
    <mergeCell ref="K818:L818"/>
    <mergeCell ref="K819:L819"/>
    <mergeCell ref="K817:L817"/>
    <mergeCell ref="K813:L813"/>
    <mergeCell ref="K948:L948"/>
    <mergeCell ref="K936:L936"/>
    <mergeCell ref="K950:L950"/>
    <mergeCell ref="K926:L926"/>
    <mergeCell ref="K815:L815"/>
    <mergeCell ref="K816:L816"/>
    <mergeCell ref="K894:L894"/>
    <mergeCell ref="K895:L895"/>
    <mergeCell ref="K837:L837"/>
    <mergeCell ref="K835:L835"/>
    <mergeCell ref="K952:L952"/>
    <mergeCell ref="K1032:L1032"/>
    <mergeCell ref="K955:L955"/>
    <mergeCell ref="K949:L949"/>
    <mergeCell ref="K953:L953"/>
    <mergeCell ref="K954:L954"/>
    <mergeCell ref="K962:L962"/>
    <mergeCell ref="K959:L959"/>
    <mergeCell ref="K999:L999"/>
    <mergeCell ref="K1010:L1010"/>
    <mergeCell ref="K1031:L1031"/>
    <mergeCell ref="K913:L913"/>
    <mergeCell ref="K914:L914"/>
    <mergeCell ref="K915:L915"/>
    <mergeCell ref="K916:L916"/>
    <mergeCell ref="K917:L917"/>
    <mergeCell ref="K918:L918"/>
    <mergeCell ref="K951:L951"/>
    <mergeCell ref="K937:L937"/>
    <mergeCell ref="K938:L938"/>
    <mergeCell ref="K820:L820"/>
    <mergeCell ref="K940:L940"/>
    <mergeCell ref="K941:L941"/>
    <mergeCell ref="K942:L942"/>
    <mergeCell ref="K939:L939"/>
    <mergeCell ref="K927:L927"/>
    <mergeCell ref="K928:L928"/>
    <mergeCell ref="K929:L929"/>
    <mergeCell ref="K930:L930"/>
    <mergeCell ref="K931:L931"/>
    <mergeCell ref="K786:L786"/>
    <mergeCell ref="K787:L787"/>
    <mergeCell ref="K788:L788"/>
    <mergeCell ref="K789:L789"/>
    <mergeCell ref="K793:L793"/>
    <mergeCell ref="K1040:L1040"/>
    <mergeCell ref="K943:L943"/>
    <mergeCell ref="K1037:L1037"/>
    <mergeCell ref="K1038:L1038"/>
    <mergeCell ref="K1030:L1030"/>
    <mergeCell ref="K1108:L1108"/>
    <mergeCell ref="K1109:L1109"/>
    <mergeCell ref="K1097:L1097"/>
    <mergeCell ref="K800:L800"/>
    <mergeCell ref="K804:L804"/>
    <mergeCell ref="K805:L805"/>
    <mergeCell ref="K1041:L1041"/>
    <mergeCell ref="K1042:L1042"/>
    <mergeCell ref="K1043:L1043"/>
    <mergeCell ref="K1044:L1044"/>
    <mergeCell ref="K1110:L1110"/>
    <mergeCell ref="K806:L806"/>
    <mergeCell ref="K807:L807"/>
    <mergeCell ref="K808:L808"/>
    <mergeCell ref="K809:L809"/>
    <mergeCell ref="K1112:L1112"/>
    <mergeCell ref="K1099:L1099"/>
    <mergeCell ref="K1100:L1100"/>
    <mergeCell ref="K1101:L1101"/>
    <mergeCell ref="K1102:L1102"/>
    <mergeCell ref="K1113:L1113"/>
    <mergeCell ref="K1114:L1114"/>
    <mergeCell ref="K1116:L1116"/>
    <mergeCell ref="K1091:L1091"/>
    <mergeCell ref="K1092:L1092"/>
    <mergeCell ref="K1093:L1093"/>
    <mergeCell ref="K1115:L1115"/>
    <mergeCell ref="K1094:L1094"/>
    <mergeCell ref="K1095:L1095"/>
    <mergeCell ref="K1098:L1098"/>
    <mergeCell ref="K1111:L1111"/>
    <mergeCell ref="C1096:D1096"/>
    <mergeCell ref="E1096:F1096"/>
    <mergeCell ref="G1096:H1096"/>
    <mergeCell ref="I1096:J1096"/>
    <mergeCell ref="K1096:L1096"/>
    <mergeCell ref="C1097:D1097"/>
    <mergeCell ref="E1097:F1097"/>
    <mergeCell ref="G1097:H1097"/>
    <mergeCell ref="I1097:J1097"/>
    <mergeCell ref="K1237:L1237"/>
    <mergeCell ref="G395:H395"/>
    <mergeCell ref="G396:H396"/>
    <mergeCell ref="K400:L400"/>
    <mergeCell ref="A902:H902"/>
    <mergeCell ref="A526:J526"/>
    <mergeCell ref="C480:D480"/>
    <mergeCell ref="E480:F480"/>
    <mergeCell ref="G480:H480"/>
    <mergeCell ref="C481:D481"/>
    <mergeCell ref="G496:H496"/>
    <mergeCell ref="C496:D496"/>
    <mergeCell ref="E496:F496"/>
    <mergeCell ref="I496:J496"/>
    <mergeCell ref="C450:D450"/>
    <mergeCell ref="E450:F450"/>
    <mergeCell ref="G450:H450"/>
    <mergeCell ref="I450:J450"/>
    <mergeCell ref="C451:D451"/>
    <mergeCell ref="G485:H485"/>
    <mergeCell ref="E497:F497"/>
    <mergeCell ref="G497:H497"/>
    <mergeCell ref="I497:J497"/>
    <mergeCell ref="C498:D498"/>
    <mergeCell ref="E498:F498"/>
    <mergeCell ref="G498:H498"/>
    <mergeCell ref="I498:J498"/>
    <mergeCell ref="E448:F448"/>
    <mergeCell ref="G448:H448"/>
    <mergeCell ref="I448:J448"/>
    <mergeCell ref="C449:D449"/>
    <mergeCell ref="E449:F449"/>
    <mergeCell ref="G449:H449"/>
    <mergeCell ref="I449:J449"/>
    <mergeCell ref="E499:F499"/>
    <mergeCell ref="G499:H499"/>
    <mergeCell ref="I499:J499"/>
    <mergeCell ref="C500:D500"/>
    <mergeCell ref="E500:F500"/>
    <mergeCell ref="G500:H500"/>
    <mergeCell ref="I500:J500"/>
    <mergeCell ref="E503:F503"/>
    <mergeCell ref="G503:H503"/>
    <mergeCell ref="I503:J503"/>
    <mergeCell ref="C504:D504"/>
    <mergeCell ref="E504:F504"/>
    <mergeCell ref="G504:H504"/>
    <mergeCell ref="I504:J504"/>
    <mergeCell ref="C503:D503"/>
    <mergeCell ref="E505:F505"/>
    <mergeCell ref="G505:H505"/>
    <mergeCell ref="I505:J505"/>
    <mergeCell ref="K505:K510"/>
    <mergeCell ref="C506:D506"/>
    <mergeCell ref="E506:F506"/>
    <mergeCell ref="G506:H506"/>
    <mergeCell ref="I506:J506"/>
    <mergeCell ref="C507:D507"/>
    <mergeCell ref="E507:F507"/>
    <mergeCell ref="G507:H507"/>
    <mergeCell ref="I507:J507"/>
    <mergeCell ref="C508:D508"/>
    <mergeCell ref="E508:F508"/>
    <mergeCell ref="G508:H508"/>
    <mergeCell ref="I508:J508"/>
    <mergeCell ref="C509:D509"/>
    <mergeCell ref="E509:F509"/>
    <mergeCell ref="G509:H509"/>
    <mergeCell ref="I509:J509"/>
    <mergeCell ref="C510:D510"/>
    <mergeCell ref="E510:F510"/>
    <mergeCell ref="G510:H510"/>
    <mergeCell ref="I510:J510"/>
    <mergeCell ref="C644:D644"/>
    <mergeCell ref="E644:F644"/>
    <mergeCell ref="C645:D645"/>
    <mergeCell ref="E645:F645"/>
    <mergeCell ref="C643:D643"/>
    <mergeCell ref="E643:F643"/>
    <mergeCell ref="A501:H501"/>
    <mergeCell ref="A511:H511"/>
    <mergeCell ref="A519:H519"/>
    <mergeCell ref="C641:D641"/>
    <mergeCell ref="E641:F641"/>
    <mergeCell ref="C642:D642"/>
    <mergeCell ref="E642:F642"/>
    <mergeCell ref="C562:D562"/>
    <mergeCell ref="E562:F562"/>
    <mergeCell ref="G562:H562"/>
  </mergeCells>
  <hyperlinks>
    <hyperlink ref="A8" location="'Зима 17-18, Весна 18'!A1217" display="Гавана (осн. часть)"/>
    <hyperlink ref="A9" location="'Зима 17-18, Весна 18'!A1445" display=" - Историческая часть Гаваны"/>
    <hyperlink ref="A10" location="'Зима 17-18, Весна 18'!A1578" display=" - Восточные пляжи Гаваны"/>
    <hyperlink ref="A12" location="'Зима 17-18, Весна 18'!A40" display="Варадеро"/>
    <hyperlink ref="A13" location="'Зима 17-18, Весна 18'!A605" display="Тринидад"/>
    <hyperlink ref="A14" location="'Зима 17-18, Весна 18'!A674" display="Сьенфуэгос"/>
    <hyperlink ref="A16" location="'Зима 17-18, Весна 18'!A713" display="Кайо Ларго"/>
    <hyperlink ref="A17" location="'Зима 17-18, Весна 18'!A768" display="Кайо Энсеначос"/>
    <hyperlink ref="A18" location="'Зима 17-18, Весна 18'!A797" display="Кайо Санта Мария"/>
    <hyperlink ref="A19" location="'Зима 17-18, Весна 18'!A924" display="Кайо Коко"/>
    <hyperlink ref="A20" location="'Зима 17-18, Весна 18'!A1040" display="Кайо Гильермо"/>
    <hyperlink ref="A22" location="'Зима 17-18, Весна 18'!A1177" display="Сантьяго-де-Куба"/>
    <hyperlink ref="A21" location="'Зима 17-18, Весна 18'!A1100" display="Ольгин"/>
    <hyperlink ref="A23:E23" location="'2015'!A1399" display="Трансферы Гавана, Варадеро (цены на остальные трансферы указаны после каждого курорта)"/>
    <hyperlink ref="A11" location="'Зима 17-18, Весна 18'!A1604" display=" - Хибакоа"/>
    <hyperlink ref="A23:H23" location="'Зима 17-18, Весна 18'!A1630" display="Трансферы Гавана, Варадеро (цены на остальные трансферы указаны после каждого курорта)"/>
    <hyperlink ref="A1:L1" location="'Зима 17-18, Весна 18'!A3" display="СТОИМОСТЬ УКАЗАНА В  ДОЛЛАРАХ США НА ОДНОГО ЧЕЛОВЕКА В НОМЕРЕ!!! СТОИМОСТЬ EXTRA BED И CHD ДАНЫ ТОЛЬКО ДЛЯ СТАНДАРТНЫХ НОМЕРОВ!!!                                                                  &gt;&gt;&gt;  ПУТЕВОДИТЕЛЬ  &lt;&lt;&lt;"/>
  </hyperlinks>
  <printOptions/>
  <pageMargins left="0.7" right="0.7" top="0.75" bottom="0.75" header="0.3" footer="0.3"/>
  <pageSetup horizontalDpi="600" verticalDpi="600" orientation="portrait" paperSize="9" r:id="rId1"/>
  <ignoredErrors>
    <ignoredError sqref="E159 G159 I159 K159 C159 C106 E106 G106:L107 C90 E90:N90 C193:L193 C194:L195 C40:L46 C62:L65 C137:L142 C954:L954 C920:L920 C1043:L1043 C819:L819 C788:J788 C1114:L1114 C1096:L1100 D1170:H1170 D1240:L1243 E1239:L1239 D1244:L1244 C325:L329 C312:L312 D1311:L1315 E1310:L1310 C524:J524 C865:J865 C848:J850 E481:H490 C486:D489 E494:F498 E504:F509 E510 F516 F515 F514 F517 E516 E517 E514 E515 E499:F500 E1016:F1018 E1130:F1136 E1148:F1154 E1183:F1188 E1175:F1177 D1168:L1169 E1167:K1167 E1350:E1355 D734 C743:L745 I738 E550:F551 E558:F559 E563:F564 E568:F569 C718:J723 C224:J230 E1284:H1287 D1285:D1286 E1517:H1520 D1518:D1519 E1524:H1532 E665:H668 D666:D667 D674:D675 E673:H676 E679 E686:H689 D687:D688 E1562:H1565 D1563 E1383:H1386 E1391:H1392 E1399:H1402 D1400 E1407:H1410 E1415:H1419 E1423:H1426 D1424 E1192:F1192 E1193:F1194 C1077:J1077 D1294:D1295 H1292:I1292 J1292 D1293 H1293:J1293 H1294:J1295 G1293 E1293 E1294:G1295 E1292:G1292 F1293 D1474:J1497 C1487:C1495 E1473:I1473 E1271:L1278 D1273:D1274 E1435:E1449 D1451:D1452 E1451:E1452 C995:L995 E1000:F1001 E1207:H1218 D1208:D1218 E1253:L1255 D1254 E1252:K1252 L1252 E1554:H1556 D1555:D1556 I31 E1301:H1302 D1302:D1303 E1331:E1342 E1368:H1370 D1369 E1375:H1378 D1376:D1377 E543 E575:F576 E582:F583 E1261:H1266 D12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2016-09-02T07:38:38Z</cp:lastPrinted>
  <dcterms:created xsi:type="dcterms:W3CDTF">2012-09-03T07:18:34Z</dcterms:created>
  <dcterms:modified xsi:type="dcterms:W3CDTF">2017-08-16T13:05:46Z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